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mc:AlternateContent xmlns:mc="http://schemas.openxmlformats.org/markup-compatibility/2006">
    <mc:Choice Requires="x15">
      <x15ac:absPath xmlns:x15ac="http://schemas.microsoft.com/office/spreadsheetml/2010/11/ac" url="C:\Users\sbartucc\OneDrive - Broadcast Music, Inc\Documents\"/>
    </mc:Choice>
  </mc:AlternateContent>
  <xr:revisionPtr revIDLastSave="25" documentId="8_{C3765358-85B9-4B98-BE00-5BE0F8FF8696}" xr6:coauthVersionLast="45" xr6:coauthVersionMax="45" xr10:uidLastSave="{BE95DD52-56F5-42DF-941A-DB962D775FC4}"/>
  <bookViews>
    <workbookView xWindow="-120" yWindow="-120" windowWidth="24240" windowHeight="13140" xr2:uid="{00000000-000D-0000-FFFF-FFFF00000000}"/>
  </bookViews>
  <sheets>
    <sheet name="Harrier Training Plan" sheetId="1" r:id="rId1"/>
    <sheet name="Pace Chart" sheetId="2" r:id="rId2"/>
    <sheet name="Definitions &amp; Recommendations" sheetId="5" r:id="rId3"/>
    <sheet name="Sheet3" sheetId="3" r:id="rId4"/>
  </sheets>
  <definedNames>
    <definedName name="Distance_Pct">'Harrier Training Plan'!$A$7</definedName>
    <definedName name="_xlnm.Print_Area" localSheetId="0">'Harrier Training Plan'!$A:$N</definedName>
    <definedName name="_xlnm.Print_Titles" localSheetId="0">'Harrier Training Plan'!$10:$10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D25" i="1"/>
  <c r="D20" i="1"/>
  <c r="D13" i="1"/>
  <c r="G15" i="1"/>
  <c r="N60" i="1" l="1"/>
  <c r="N55" i="1"/>
  <c r="N50" i="1"/>
  <c r="N39" i="1"/>
  <c r="N34" i="1"/>
  <c r="N28" i="1"/>
  <c r="N23" i="1"/>
  <c r="N18" i="1"/>
  <c r="N11" i="1"/>
  <c r="N44" i="1"/>
  <c r="N65" i="1"/>
  <c r="K70" i="1" l="1"/>
  <c r="C14" i="2" l="1"/>
  <c r="D14" i="2" s="1"/>
  <c r="D10" i="2" s="1"/>
  <c r="F10" i="2" s="1"/>
  <c r="K20" i="1"/>
  <c r="K67" i="1"/>
  <c r="K46" i="1"/>
  <c r="K41" i="1"/>
  <c r="K36" i="1"/>
  <c r="K30" i="1"/>
  <c r="K25" i="1"/>
  <c r="K13" i="1"/>
  <c r="H70" i="1"/>
  <c r="F70" i="1" s="1"/>
  <c r="E70" i="1" s="1"/>
  <c r="C70" i="1" s="1"/>
  <c r="B70" i="1" s="1"/>
  <c r="A70" i="1" s="1"/>
  <c r="K65" i="1" s="1"/>
  <c r="H65" i="1" s="1"/>
  <c r="F65" i="1" s="1"/>
  <c r="E65" i="1" s="1"/>
  <c r="C65" i="1" s="1"/>
  <c r="B65" i="1" s="1"/>
  <c r="A65" i="1" s="1"/>
  <c r="K60" i="1" s="1"/>
  <c r="H60" i="1" s="1"/>
  <c r="F60" i="1" s="1"/>
  <c r="E60" i="1" s="1"/>
  <c r="C60" i="1" s="1"/>
  <c r="B60" i="1" s="1"/>
  <c r="A60" i="1" s="1"/>
  <c r="K55" i="1" s="1"/>
  <c r="H55" i="1" s="1"/>
  <c r="F55" i="1" s="1"/>
  <c r="E55" i="1" s="1"/>
  <c r="C55" i="1" s="1"/>
  <c r="B55" i="1" s="1"/>
  <c r="A55" i="1" s="1"/>
  <c r="K50" i="1" s="1"/>
  <c r="H50" i="1" s="1"/>
  <c r="F50" i="1" s="1"/>
  <c r="E50" i="1" s="1"/>
  <c r="C50" i="1" s="1"/>
  <c r="B50" i="1" s="1"/>
  <c r="A50" i="1" s="1"/>
  <c r="K44" i="1" s="1"/>
  <c r="H44" i="1" s="1"/>
  <c r="F44" i="1" s="1"/>
  <c r="E44" i="1" s="1"/>
  <c r="C44" i="1" s="1"/>
  <c r="B44" i="1" s="1"/>
  <c r="A44" i="1" s="1"/>
  <c r="K39" i="1" s="1"/>
  <c r="H39" i="1" s="1"/>
  <c r="F39" i="1" s="1"/>
  <c r="E39" i="1" s="1"/>
  <c r="C39" i="1" s="1"/>
  <c r="B39" i="1" s="1"/>
  <c r="A39" i="1" s="1"/>
  <c r="K34" i="1" s="1"/>
  <c r="H34" i="1" s="1"/>
  <c r="F34" i="1" s="1"/>
  <c r="E34" i="1" s="1"/>
  <c r="C34" i="1" s="1"/>
  <c r="B34" i="1" s="1"/>
  <c r="A34" i="1" s="1"/>
  <c r="K28" i="1" s="1"/>
  <c r="H28" i="1" s="1"/>
  <c r="F28" i="1" s="1"/>
  <c r="E28" i="1" s="1"/>
  <c r="C28" i="1" s="1"/>
  <c r="B28" i="1" s="1"/>
  <c r="A28" i="1" s="1"/>
  <c r="K23" i="1" s="1"/>
  <c r="H23" i="1" s="1"/>
  <c r="F23" i="1" s="1"/>
  <c r="E23" i="1" s="1"/>
  <c r="C23" i="1" s="1"/>
  <c r="B23" i="1" s="1"/>
  <c r="A23" i="1" s="1"/>
  <c r="K18" i="1" s="1"/>
  <c r="H18" i="1" s="1"/>
  <c r="F18" i="1" s="1"/>
  <c r="E18" i="1" s="1"/>
  <c r="C18" i="1" s="1"/>
  <c r="B18" i="1" s="1"/>
  <c r="A18" i="1" s="1"/>
  <c r="K11" i="1" s="1"/>
  <c r="H11" i="1" s="1"/>
  <c r="F11" i="1" s="1"/>
  <c r="E11" i="1" s="1"/>
  <c r="C11" i="1" s="1"/>
  <c r="B11" i="1" s="1"/>
  <c r="A11" i="1" s="1"/>
  <c r="C2" i="3"/>
  <c r="C3" i="3"/>
  <c r="C4" i="3"/>
  <c r="C5" i="3"/>
  <c r="C6" i="3"/>
  <c r="C7" i="3"/>
  <c r="G2" i="3" s="1"/>
  <c r="C10" i="3"/>
  <c r="C11" i="3"/>
  <c r="C12" i="3"/>
  <c r="C13" i="3"/>
  <c r="C14" i="3"/>
  <c r="C15" i="3"/>
  <c r="G3" i="3" s="1"/>
  <c r="C18" i="3"/>
  <c r="C19" i="3"/>
  <c r="C20" i="3"/>
  <c r="C21" i="3"/>
  <c r="C22" i="3"/>
  <c r="C23" i="3"/>
  <c r="G4" i="3" s="1"/>
  <c r="C26" i="3"/>
  <c r="C27" i="3"/>
  <c r="C28" i="3"/>
  <c r="C29" i="3"/>
  <c r="C30" i="3"/>
  <c r="C31" i="3"/>
  <c r="G5" i="3" s="1"/>
  <c r="C34" i="3"/>
  <c r="C35" i="3"/>
  <c r="C36" i="3"/>
  <c r="C37" i="3"/>
  <c r="C38" i="3"/>
  <c r="C39" i="3"/>
  <c r="G6" i="3"/>
  <c r="D21" i="2" l="1"/>
  <c r="F21" i="2" s="1"/>
  <c r="F34" i="2" s="1"/>
  <c r="G13" i="1" s="1"/>
  <c r="C10" i="2"/>
  <c r="H10" i="2"/>
  <c r="J10" i="2"/>
  <c r="I10" i="2"/>
  <c r="G10" i="2"/>
  <c r="F26" i="2"/>
  <c r="D8" i="2"/>
  <c r="D7" i="2"/>
  <c r="D13" i="2"/>
  <c r="D9" i="2"/>
  <c r="D11" i="2"/>
  <c r="D20" i="2"/>
  <c r="F20" i="2" s="1"/>
  <c r="D12" i="2"/>
  <c r="F14" i="2"/>
  <c r="G33" i="1" l="1"/>
  <c r="G22" i="1"/>
  <c r="G20" i="1"/>
  <c r="G46" i="1"/>
  <c r="G62" i="1"/>
  <c r="M36" i="1"/>
  <c r="M57" i="1"/>
  <c r="G21" i="2"/>
  <c r="M52" i="1"/>
  <c r="M46" i="1"/>
  <c r="I21" i="2"/>
  <c r="G72" i="1"/>
  <c r="G74" i="1"/>
  <c r="G30" i="1"/>
  <c r="G41" i="1"/>
  <c r="G43" i="1"/>
  <c r="M20" i="1"/>
  <c r="G67" i="1"/>
  <c r="H21" i="2"/>
  <c r="G52" i="1"/>
  <c r="G69" i="1"/>
  <c r="G36" i="1"/>
  <c r="G57" i="1"/>
  <c r="G27" i="1"/>
  <c r="G38" i="1"/>
  <c r="G25" i="1"/>
  <c r="G54" i="1"/>
  <c r="M41" i="1"/>
  <c r="J21" i="2"/>
  <c r="M13" i="1"/>
  <c r="G64" i="1"/>
  <c r="M25" i="1"/>
  <c r="J20" i="2"/>
  <c r="H20" i="2"/>
  <c r="I20" i="2"/>
  <c r="G20" i="2"/>
  <c r="F32" i="2"/>
  <c r="F7" i="2"/>
  <c r="F29" i="2" s="1"/>
  <c r="D15" i="2"/>
  <c r="C7" i="2"/>
  <c r="F11" i="2"/>
  <c r="C11" i="2"/>
  <c r="J14" i="2"/>
  <c r="F31" i="2"/>
  <c r="I14" i="2"/>
  <c r="G14" i="2"/>
  <c r="H14" i="2"/>
  <c r="F8" i="2"/>
  <c r="D16" i="2"/>
  <c r="C8" i="2"/>
  <c r="F9" i="2"/>
  <c r="D17" i="2"/>
  <c r="C9" i="2"/>
  <c r="D18" i="2"/>
  <c r="F12" i="2"/>
  <c r="C12" i="2"/>
  <c r="C13" i="2"/>
  <c r="F13" i="2"/>
  <c r="D19" i="2"/>
  <c r="F19" i="2" s="1"/>
  <c r="A79" i="1" l="1"/>
  <c r="G14" i="1"/>
  <c r="G26" i="1"/>
  <c r="G21" i="1"/>
  <c r="D52" i="1"/>
  <c r="G47" i="1"/>
  <c r="G58" i="1"/>
  <c r="I19" i="2"/>
  <c r="G19" i="2"/>
  <c r="H19" i="2"/>
  <c r="J19" i="2"/>
  <c r="F33" i="2"/>
  <c r="H62" i="1" s="1"/>
  <c r="H13" i="2"/>
  <c r="I13" i="2"/>
  <c r="G13" i="2"/>
  <c r="J13" i="2"/>
  <c r="F30" i="2"/>
  <c r="C17" i="2"/>
  <c r="F17" i="2"/>
  <c r="H8" i="2"/>
  <c r="I8" i="2"/>
  <c r="G8" i="2"/>
  <c r="F25" i="2"/>
  <c r="J8" i="2"/>
  <c r="M47" i="1"/>
  <c r="G68" i="1"/>
  <c r="M58" i="1"/>
  <c r="M21" i="1"/>
  <c r="M62" i="1"/>
  <c r="D72" i="1"/>
  <c r="G73" i="1"/>
  <c r="D67" i="1"/>
  <c r="G53" i="1"/>
  <c r="D62" i="1"/>
  <c r="M37" i="1"/>
  <c r="G63" i="1"/>
  <c r="M67" i="1"/>
  <c r="J12" i="2"/>
  <c r="F24" i="2"/>
  <c r="H12" i="2"/>
  <c r="I12" i="2"/>
  <c r="G12" i="2"/>
  <c r="H9" i="2"/>
  <c r="F27" i="2"/>
  <c r="I9" i="2"/>
  <c r="G9" i="2"/>
  <c r="J9" i="2"/>
  <c r="F15" i="2"/>
  <c r="C15" i="2"/>
  <c r="C18" i="2"/>
  <c r="F18" i="2"/>
  <c r="F16" i="2"/>
  <c r="C16" i="2"/>
  <c r="I11" i="2"/>
  <c r="G11" i="2"/>
  <c r="H11" i="2"/>
  <c r="J11" i="2"/>
  <c r="F28" i="2"/>
  <c r="G37" i="1" l="1"/>
  <c r="H36" i="1"/>
  <c r="B67" i="1"/>
  <c r="B46" i="1"/>
  <c r="B25" i="1"/>
  <c r="H41" i="1"/>
  <c r="E30" i="1"/>
  <c r="E72" i="1"/>
  <c r="B41" i="1"/>
  <c r="H46" i="1"/>
  <c r="H52" i="1"/>
  <c r="B52" i="1"/>
  <c r="H67" i="1"/>
  <c r="H25" i="1"/>
  <c r="E57" i="1"/>
  <c r="E36" i="1"/>
  <c r="E13" i="1"/>
  <c r="H30" i="1"/>
  <c r="E41" i="1"/>
  <c r="B72" i="1"/>
  <c r="B30" i="1"/>
  <c r="E46" i="1"/>
  <c r="E20" i="1"/>
  <c r="H57" i="1"/>
  <c r="H13" i="1"/>
  <c r="B57" i="1"/>
  <c r="B36" i="1"/>
  <c r="B13" i="1"/>
  <c r="H20" i="1"/>
  <c r="E52" i="1"/>
  <c r="B62" i="1"/>
  <c r="B20" i="1"/>
  <c r="E67" i="1"/>
  <c r="E25" i="1"/>
  <c r="E62" i="1"/>
  <c r="D57" i="1"/>
  <c r="D46" i="1"/>
  <c r="G49" i="1"/>
  <c r="G42" i="1"/>
  <c r="G31" i="1"/>
  <c r="G48" i="1"/>
  <c r="M30" i="1"/>
  <c r="D41" i="1"/>
  <c r="D36" i="1"/>
  <c r="J16" i="2"/>
  <c r="I16" i="2"/>
  <c r="G16" i="2"/>
  <c r="H16" i="2"/>
  <c r="F36" i="2"/>
  <c r="J15" i="2"/>
  <c r="I15" i="2"/>
  <c r="G15" i="2"/>
  <c r="H15" i="2"/>
  <c r="F35" i="2"/>
  <c r="H17" i="2"/>
  <c r="I17" i="2"/>
  <c r="G17" i="2"/>
  <c r="J17" i="2"/>
  <c r="F37" i="2"/>
  <c r="H18" i="2"/>
  <c r="J18" i="2"/>
  <c r="I18" i="2"/>
  <c r="G18" i="2"/>
  <c r="F38" i="2"/>
  <c r="A8" i="1"/>
</calcChain>
</file>

<file path=xl/sharedStrings.xml><?xml version="1.0" encoding="utf-8"?>
<sst xmlns="http://schemas.openxmlformats.org/spreadsheetml/2006/main" count="302" uniqueCount="153">
  <si>
    <t>Sunday</t>
  </si>
  <si>
    <t>Monday</t>
  </si>
  <si>
    <t>Tuesday</t>
  </si>
  <si>
    <t>Thursday</t>
  </si>
  <si>
    <t>Saturday</t>
  </si>
  <si>
    <t>Half Marathon:</t>
  </si>
  <si>
    <t>10K:</t>
  </si>
  <si>
    <t>5K:</t>
  </si>
  <si>
    <t>800m:</t>
  </si>
  <si>
    <t>1 mile:</t>
  </si>
  <si>
    <t>Race Time 
(min)</t>
  </si>
  <si>
    <t>Marathon:</t>
  </si>
  <si>
    <t>Distance 
(Name)</t>
  </si>
  <si>
    <t>Distance 
(Mile)</t>
  </si>
  <si>
    <t>Set 1</t>
  </si>
  <si>
    <t>Set 2</t>
  </si>
  <si>
    <t>Set 3</t>
  </si>
  <si>
    <t>Set 5</t>
  </si>
  <si>
    <t>Set 4</t>
  </si>
  <si>
    <t>A</t>
  </si>
  <si>
    <t>B</t>
  </si>
  <si>
    <t>Set</t>
  </si>
  <si>
    <t>26.2 Time</t>
  </si>
  <si>
    <t>A = [3.12E-2 * (MARATHON TIME)] - 3.17E-2</t>
  </si>
  <si>
    <t>B = [-1.75E-5 * (MARATHON TIME)] + 1.07</t>
  </si>
  <si>
    <t>RACE TIME = A * (DIST^B)</t>
  </si>
  <si>
    <t>Speed Intensity:</t>
  </si>
  <si>
    <t>Tempo Intensity:</t>
  </si>
  <si>
    <t>LSD Intensity:</t>
  </si>
  <si>
    <t>(0-3 miles)</t>
  </si>
  <si>
    <t>(3-10 miles)</t>
  </si>
  <si>
    <t>(10+ miles)</t>
  </si>
  <si>
    <t>Race Pace (Code)</t>
  </si>
  <si>
    <t>R-800</t>
  </si>
  <si>
    <t>R-5K</t>
  </si>
  <si>
    <t>R-10K</t>
  </si>
  <si>
    <t>R-Half</t>
  </si>
  <si>
    <t>R-Mar</t>
  </si>
  <si>
    <t>R-1M</t>
  </si>
  <si>
    <t>T-SF</t>
  </si>
  <si>
    <t>T-SS</t>
  </si>
  <si>
    <t>T-TF</t>
  </si>
  <si>
    <t>T-TS</t>
  </si>
  <si>
    <t>T-LFD</t>
  </si>
  <si>
    <t>T-LSD</t>
  </si>
  <si>
    <t>R-4M</t>
  </si>
  <si>
    <t>4 mile:</t>
  </si>
  <si>
    <t>5 mile:</t>
  </si>
  <si>
    <t>R-5M</t>
  </si>
  <si>
    <t>LOOKUP TABLE:</t>
  </si>
  <si>
    <t>T-LS</t>
  </si>
  <si>
    <t>T-LF</t>
  </si>
  <si>
    <t>LSD Run</t>
  </si>
  <si>
    <t>Reps: 4</t>
  </si>
  <si>
    <r>
      <t>Z</t>
    </r>
    <r>
      <rPr>
        <b/>
        <sz val="12"/>
        <color indexed="12"/>
        <rFont val="Calibri"/>
        <family val="2"/>
      </rPr>
      <t xml:space="preserve"> INPUT YOUR GOAL MARATHON TIME (00:00:00)</t>
    </r>
  </si>
  <si>
    <t>26.2 miles @</t>
  </si>
  <si>
    <t>of MP</t>
  </si>
  <si>
    <t>T-CAN</t>
  </si>
  <si>
    <t>Canova Recovery:</t>
  </si>
  <si>
    <t>WEEK MILES</t>
  </si>
  <si>
    <t>Canova Interval Training</t>
  </si>
  <si>
    <t>TLT Long Runs</t>
  </si>
  <si>
    <t>Striders</t>
  </si>
  <si>
    <t>Taper</t>
  </si>
  <si>
    <t>Intensity/Effort Range</t>
  </si>
  <si>
    <t>VO2 Max</t>
  </si>
  <si>
    <t xml:space="preserve">Your range of effort compared to your VO2 Max (see below).  In the past, this was often tied together with your % of maximum heartrate.  Recent studies have shown that % to not be as accurate, especially for women.  In more nerdy terms, the intensity/effort % is closely tied to the concentration of lactate in your blood.  But % heartrate is a good approximation if you're using a heartrate monitor.  See link for more info.  </t>
  </si>
  <si>
    <t>Cross Training</t>
  </si>
  <si>
    <t>Weekly Miles</t>
  </si>
  <si>
    <t xml:space="preserve">The mileage listed is a fairly wide range.  If you're an experienced and/or competitive marathon runner, you probably want to be on the upper end of that range.  Newer marathoners should be in the middle to lower end.  That doesn't need to be a universal truth every week.  You may want to be on the upper end one week, lower end the next based on how you feel, other races, etc.  Those who've done several marathons will already have a feel for what weekly mileage works for them.  </t>
  </si>
  <si>
    <t>Running Days per Week</t>
  </si>
  <si>
    <t>Long Runs</t>
  </si>
  <si>
    <t>We show the long runs on Sundays, but you can do them when you want.  In general the weekend tends to work best simply because these runs take a long time.</t>
  </si>
  <si>
    <t>Other Runs</t>
  </si>
  <si>
    <t xml:space="preserve">The days for which a specific workout is not prescribed are open to you.  Take them slow, no faster than the pace shown on the top left of the workout sheet.  Feel free to run your LSD pace too.  In general these are runs of 5-10 miles.  The goal is to recover from previous workouts and keep some comfortable base miles.  </t>
  </si>
  <si>
    <r>
      <t>Z</t>
    </r>
    <r>
      <rPr>
        <sz val="12"/>
        <rFont val="Calibri"/>
        <family val="2"/>
      </rPr>
      <t xml:space="preserve"> 2-4 days per week, 5-10 miles each</t>
    </r>
  </si>
  <si>
    <t>Taper Period</t>
  </si>
  <si>
    <t xml:space="preserve">If you're incorporating cross training into your workouts, it's best to do that on lower intensity days (e.g. Monday, Tuesday, Saturday).  Cross Training is great for runners because it strenthens and exercises areas that don't necessarily get attention when you're running, particularly core strength and plyometric exercises.  Biking, rollerblading, weight training, etc are all good add-ons.
Of course, don't go overboard with the other training if you expect to run a PR marathon.  You can't expect to win the World Powerlifting Championships and be in shape for a marathon PR at the same time.  </t>
  </si>
  <si>
    <t>800m Recovery @</t>
  </si>
  <si>
    <t>400m Recovery @</t>
  </si>
  <si>
    <t>Long Run</t>
  </si>
  <si>
    <t>including 1 hr @</t>
  </si>
  <si>
    <t>REST OR</t>
  </si>
  <si>
    <t>1-2 mile jog</t>
  </si>
  <si>
    <t>Reps: 2</t>
  </si>
  <si>
    <t>3 min Recovery @</t>
  </si>
  <si>
    <t>24-32
(NOT INCLUDING MARATHON)</t>
  </si>
  <si>
    <t>Reps: 4-6</t>
  </si>
  <si>
    <t>Marathon Tempo</t>
  </si>
  <si>
    <t>10 miles @</t>
  </si>
  <si>
    <r>
      <t>Z</t>
    </r>
    <r>
      <rPr>
        <b/>
        <sz val="12"/>
        <color indexed="12"/>
        <rFont val="Calibri"/>
        <family val="2"/>
      </rPr>
      <t xml:space="preserve"> INPUT YOUR TRAINING INTENSITY (0 = minimum recommended distance, 100 = maximum recommended distance)</t>
    </r>
  </si>
  <si>
    <t>10 min recoveries @</t>
  </si>
  <si>
    <t>Long Run + Intervals</t>
  </si>
  <si>
    <t>Long Run + Long Interval</t>
  </si>
  <si>
    <t>including 30 min @</t>
  </si>
  <si>
    <t>3 x 8 min @</t>
  </si>
  <si>
    <t>Wednesday</t>
  </si>
  <si>
    <t>Friday</t>
  </si>
  <si>
    <t>EZ Run:</t>
  </si>
  <si>
    <t>Long Run:</t>
  </si>
  <si>
    <t>Pace
(min/mile)</t>
  </si>
  <si>
    <t>Time 
(hh:mm:ss)</t>
  </si>
  <si>
    <t>200m Split
(mm:ss)</t>
  </si>
  <si>
    <t>400m Split
(mm:ss)</t>
  </si>
  <si>
    <t>800m Split
(mm:ss)</t>
  </si>
  <si>
    <t>1200m Split
(mm:ss)</t>
  </si>
  <si>
    <t>Tempo Run</t>
  </si>
  <si>
    <t>Reps: 8-10</t>
  </si>
  <si>
    <t>3 min recoveries @</t>
  </si>
  <si>
    <t>EZ Run</t>
  </si>
  <si>
    <t>1M Warmup @</t>
  </si>
  <si>
    <t>Rest &amp; Recovery</t>
  </si>
  <si>
    <t>5-10M Run @</t>
  </si>
  <si>
    <t>OR Rest Day</t>
  </si>
  <si>
    <t>Pyramid</t>
  </si>
  <si>
    <t>2 min Recovery @</t>
  </si>
  <si>
    <t>Progression Run</t>
  </si>
  <si>
    <t>3-6-9-6-3 minutes @</t>
  </si>
  <si>
    <t>Reps: 5</t>
  </si>
  <si>
    <t>Reps: 10</t>
  </si>
  <si>
    <t>Reps: 6</t>
  </si>
  <si>
    <t>or Short/easy run</t>
  </si>
  <si>
    <t>5M Run @</t>
  </si>
  <si>
    <t>Reps: 10-12</t>
  </si>
  <si>
    <t>Jog</t>
  </si>
  <si>
    <t>Harlem Hills: 3-4</t>
  </si>
  <si>
    <t>20 min @</t>
  </si>
  <si>
    <t>800m @</t>
  </si>
  <si>
    <t>1200m @</t>
  </si>
  <si>
    <t>1M Cooldown @</t>
  </si>
  <si>
    <t>1 mile @</t>
  </si>
  <si>
    <t>1600m @</t>
  </si>
  <si>
    <t>4 x 10 min @</t>
  </si>
  <si>
    <t>3 x 10 min @</t>
  </si>
  <si>
    <t>7 miles @</t>
  </si>
  <si>
    <t>6 miles @</t>
  </si>
  <si>
    <t>Marathon Day</t>
  </si>
  <si>
    <t>5 min Recovery @</t>
  </si>
  <si>
    <t>8 x 0.5M @</t>
  </si>
  <si>
    <t>3 x 1M @</t>
  </si>
  <si>
    <t xml:space="preserve">The concept is to train both the top and bottom of your aerobic range.  There is NO slow jog rest, rather the "recovery" is just a little slower than your marathon pace.  This increases long distance running efficiency.
Each set consists of an Interval portion and a Recovery portion.  Intervals are done around 10K to Half Marathon race pace; Recovery is done just slower than Marathon Pace (MP).  These intervals, unlike some others, have a slower speed interval and a faster recovery.  
Upon completion of the Recovery, begin the next set with the faster Interval speed again.  </t>
  </si>
  <si>
    <t>No, this has nothing to do with Timothy Leary.  "Long Slow Distance".  It's running at less than 75% of maximum effort (conversational pace). The benefit is from TIME running, not pace, so Go Slow!</t>
  </si>
  <si>
    <t>Short, fast running (mile race pace), but only for 20 to 30 seconds; concentrate on perfect form and efficient movement; full recovery between each one.</t>
  </si>
  <si>
    <t>Competitive runners and those looking to PR should aim for 12-13 days of running in a two week period.  New people or those not looking to challenge their PR should do maybe 10-12 days of running in a two week period.  These are not hard and fast rules!!  There are people who run every day and don't PR, as there are people that run 4 days a week and do PR.  As with the weekly miles, you need to keep tabs on how you feel and use your judgment.  Don't just follow these numbers blindly as it may lead to injury.</t>
  </si>
  <si>
    <t>Reducing duration and intensity of effort; in our case, gradually reducing miles and intervals to rest in the two weeks leading up to the marathon.</t>
  </si>
  <si>
    <t>A lot of people finish their last long run 2 weeks before the marathon, then assume "Taper" means be a lazy@ss for two weeks.  It's exactly what the word means, a gradual backing off of intensity and distance leading up to Marathon day.  
Alternately, there are some people that feel they haven't trained well enough for the marathon and try to "cram" during the last two weeks.  It doesn't work, don't even try.  It is, however, a really great way to get injured.
Two weeks out from a marathon, there's nothing you can do anymore to make yourself faster on race day.  All the gains of training have been established and solidified.  There are, however, plenty of stupid things you can still do to screw up your marathon.  So no couch-potatoing, no cramming, just a gradual decrease in mileage and intensity.  This is also a good time to maybe cut out some of the twinkies and bloomin' onions if you haven't already.</t>
  </si>
  <si>
    <t>Designed to challenge your body during a long run to several iterations near Marathon Pace.  During each fast repeat (e.g. 2 x 6 mins), rest for 2 mins at a slow jog pace.  Once you've done the cycles of speed and rest, go onto the next pace listed</t>
  </si>
  <si>
    <t xml:space="preserve">Basically it's the maximum rate at which your body can deliver O2 to the muscles.  In general, higher VO2 Max indicates a higher fitness level.  See link for more details.  </t>
  </si>
  <si>
    <t>25 min @</t>
  </si>
  <si>
    <t>1.7 miles @</t>
  </si>
  <si>
    <t>Reps: 6-8</t>
  </si>
  <si>
    <t>Cat Hill @</t>
  </si>
  <si>
    <t>Downhill Recovery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</si>
</sst>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mmm\ d"/>
    <numFmt numFmtId="165" formatCode="0.0"/>
    <numFmt numFmtId="166" formatCode="mm:ss&quot; pace&quot;"/>
    <numFmt numFmtId="167" formatCode="0&quot; miles&quot;"/>
    <numFmt numFmtId="168" formatCode="0.0&quot; miles&quot;"/>
    <numFmt numFmtId="169" formatCode="m/d"/>
    <numFmt numFmtId="170" formatCode="0&quot;m Interval&quot;"/>
    <numFmt numFmtId="171" formatCode="0&quot;m Interval @ &quot;"/>
    <numFmt numFmtId="172" formatCode="0&quot; min rest @ &quot;"/>
    <numFmt numFmtId="173" formatCode="0&quot; min Interval @ &quot;"/>
    <numFmt numFmtId="174" formatCode="mm:ss&quot; split&quot;"/>
    <numFmt numFmtId="175" formatCode="0&quot;m Recovery @ &quot;"/>
    <numFmt numFmtId="176" formatCode="mm:ss&quot; pace max&quot;"/>
    <numFmt numFmtId="177" formatCode="0&quot; miles @&quot;"/>
    <numFmt numFmtId="178" formatCode="0.0&quot; miles @&quot;"/>
  </numFmts>
  <fonts count="43" x14ac:knownFonts="1">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1"/>
      <name val="Calibri"/>
      <family val="2"/>
    </font>
    <font>
      <sz val="12"/>
      <name val="Calibri"/>
      <family val="2"/>
    </font>
    <font>
      <b/>
      <sz val="11"/>
      <color indexed="10"/>
      <name val="Calibri"/>
      <family val="2"/>
    </font>
    <font>
      <sz val="11"/>
      <color indexed="8"/>
      <name val="Calibri"/>
      <family val="2"/>
    </font>
    <font>
      <b/>
      <u/>
      <sz val="11"/>
      <name val="Calibri"/>
      <family val="2"/>
    </font>
    <font>
      <sz val="12"/>
      <color indexed="8"/>
      <name val="Calibri"/>
      <family val="2"/>
    </font>
    <font>
      <b/>
      <sz val="12"/>
      <color indexed="8"/>
      <name val="Calibri"/>
      <family val="2"/>
    </font>
    <font>
      <b/>
      <sz val="12"/>
      <color indexed="12"/>
      <name val="Wingdings 3"/>
      <family val="1"/>
      <charset val="2"/>
    </font>
    <font>
      <b/>
      <sz val="12"/>
      <color indexed="12"/>
      <name val="Calibri"/>
      <family val="2"/>
    </font>
    <font>
      <b/>
      <i/>
      <sz val="12"/>
      <color indexed="10"/>
      <name val="Calibri"/>
      <family val="2"/>
    </font>
    <font>
      <sz val="8"/>
      <name val="Arial"/>
      <family val="2"/>
    </font>
    <font>
      <b/>
      <sz val="11"/>
      <color indexed="12"/>
      <name val="Calibri"/>
      <family val="2"/>
    </font>
    <font>
      <b/>
      <sz val="11"/>
      <name val="Calibri"/>
      <family val="2"/>
    </font>
    <font>
      <sz val="11"/>
      <color indexed="8"/>
      <name val="Calibri"/>
      <family val="2"/>
    </font>
    <font>
      <sz val="12"/>
      <name val="Wingdings 3"/>
      <family val="1"/>
      <charset val="2"/>
    </font>
    <font>
      <b/>
      <u/>
      <sz val="11"/>
      <color indexed="8"/>
      <name val="Calibri"/>
      <family val="2"/>
    </font>
    <font>
      <u/>
      <sz val="11"/>
      <color indexed="12"/>
      <name val="Calibri"/>
      <family val="2"/>
    </font>
    <font>
      <b/>
      <sz val="11"/>
      <color indexed="10"/>
      <name val="Calibri"/>
      <family val="2"/>
    </font>
    <font>
      <sz val="11"/>
      <color indexed="10"/>
      <name val="Calibri"/>
      <family val="2"/>
    </font>
    <font>
      <sz val="12"/>
      <color indexed="8"/>
      <name val="Calibri"/>
      <family val="2"/>
    </font>
    <font>
      <sz val="11"/>
      <color indexed="8"/>
      <name val="Calibri"/>
      <family val="2"/>
    </font>
    <font>
      <u/>
      <sz val="11"/>
      <color indexed="8"/>
      <name val="Calibri"/>
      <family val="2"/>
    </font>
    <font>
      <b/>
      <sz val="11"/>
      <color rgb="FF0000FF"/>
      <name val="Calibri"/>
      <family val="2"/>
    </font>
    <font>
      <b/>
      <sz val="11"/>
      <color rgb="FFFF0000"/>
      <name val="Calibri"/>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indexed="41"/>
        <bgColor indexed="64"/>
      </patternFill>
    </fill>
    <fill>
      <patternFill patternType="solid">
        <fgColor indexed="8"/>
        <bgColor indexed="36"/>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FFFF99"/>
        <bgColor indexed="26"/>
      </patternFill>
    </fill>
    <fill>
      <patternFill patternType="solid">
        <fgColor theme="1" tint="4.9989318521683403E-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thin">
        <color indexed="8"/>
      </bottom>
      <diagonal/>
    </border>
    <border>
      <left/>
      <right style="hair">
        <color indexed="8"/>
      </right>
      <top/>
      <bottom/>
      <diagonal/>
    </border>
    <border>
      <left style="hair">
        <color indexed="8"/>
      </left>
      <right/>
      <top/>
      <bottom style="thin">
        <color indexed="8"/>
      </bottom>
      <diagonal/>
    </border>
    <border>
      <left style="hair">
        <color indexed="8"/>
      </left>
      <right/>
      <top/>
      <bottom/>
      <diagonal/>
    </border>
    <border>
      <left style="hair">
        <color indexed="8"/>
      </left>
      <right style="hair">
        <color indexed="8"/>
      </right>
      <top style="thin">
        <color indexed="8"/>
      </top>
      <bottom style="hair">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8"/>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diagonal/>
    </border>
    <border>
      <left style="hair">
        <color indexed="8"/>
      </left>
      <right/>
      <top style="hair">
        <color indexed="8"/>
      </top>
      <bottom/>
      <diagonal/>
    </border>
    <border>
      <left style="hair">
        <color indexed="8"/>
      </left>
      <right/>
      <top/>
      <bottom style="hair">
        <color indexed="8"/>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diagonal/>
    </border>
    <border>
      <left/>
      <right style="thin">
        <color indexed="64"/>
      </right>
      <top style="thin">
        <color indexed="64"/>
      </top>
      <bottom/>
      <diagonal/>
    </border>
    <border>
      <left style="thin">
        <color indexed="64"/>
      </left>
      <right style="hair">
        <color indexed="8"/>
      </right>
      <top style="hair">
        <color indexed="8"/>
      </top>
      <bottom/>
      <diagonal/>
    </border>
    <border>
      <left style="thin">
        <color indexed="64"/>
      </left>
      <right style="hair">
        <color indexed="8"/>
      </right>
      <top/>
      <bottom/>
      <diagonal/>
    </border>
    <border>
      <left style="thin">
        <color indexed="64"/>
      </left>
      <right style="hair">
        <color indexed="8"/>
      </right>
      <top/>
      <bottom style="thin">
        <color indexed="8"/>
      </bottom>
      <diagonal/>
    </border>
    <border>
      <left style="thin">
        <color indexed="64"/>
      </left>
      <right style="hair">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8"/>
      </right>
      <top style="hair">
        <color indexed="8"/>
      </top>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right style="thin">
        <color indexed="64"/>
      </right>
      <top style="hair">
        <color indexed="8"/>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bottom style="hair">
        <color indexed="8"/>
      </bottom>
      <diagonal/>
    </border>
    <border>
      <left/>
      <right style="thin">
        <color indexed="64"/>
      </right>
      <top/>
      <bottom style="hair">
        <color indexed="8"/>
      </bottom>
      <diagonal/>
    </border>
    <border>
      <left/>
      <right style="hair">
        <color indexed="8"/>
      </right>
      <top/>
      <bottom style="hair">
        <color indexed="8"/>
      </bottom>
      <diagonal/>
    </border>
    <border>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top style="thin">
        <color indexed="64"/>
      </top>
      <bottom/>
      <diagonal/>
    </border>
    <border>
      <left/>
      <right/>
      <top style="thin">
        <color indexed="64"/>
      </top>
      <bottom style="hair">
        <color indexed="8"/>
      </bottom>
      <diagonal/>
    </border>
    <border>
      <left/>
      <right style="thin">
        <color indexed="64"/>
      </right>
      <top style="thin">
        <color indexed="64"/>
      </top>
      <bottom style="hair">
        <color indexed="8"/>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alignment vertical="top"/>
      <protection locked="0"/>
    </xf>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2" fillId="23" borderId="7" applyNumberFormat="0" applyAlignment="0" applyProtection="0"/>
    <xf numFmtId="0" fontId="14" fillId="20" borderId="8" applyNumberFormat="0" applyAlignment="0" applyProtection="0"/>
    <xf numFmtId="9" fontId="1" fillId="0" borderId="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94">
    <xf numFmtId="0" fontId="0" fillId="0" borderId="0" xfId="0"/>
    <xf numFmtId="0" fontId="0" fillId="0" borderId="0" xfId="0" applyAlignment="1">
      <alignment vertical="center" wrapText="1"/>
    </xf>
    <xf numFmtId="0" fontId="16" fillId="0" borderId="0" xfId="0" applyFont="1" applyFill="1" applyAlignment="1">
      <alignment vertical="center" wrapText="1"/>
    </xf>
    <xf numFmtId="0" fontId="0" fillId="0" borderId="0" xfId="0" applyAlignment="1">
      <alignment horizontal="center" vertical="center" wrapText="1"/>
    </xf>
    <xf numFmtId="0" fontId="16" fillId="0" borderId="0" xfId="0" applyFont="1" applyAlignment="1">
      <alignment vertical="center" wrapText="1"/>
    </xf>
    <xf numFmtId="0" fontId="0" fillId="22" borderId="0" xfId="0" applyFill="1" applyAlignment="1">
      <alignment vertical="center" wrapText="1"/>
    </xf>
    <xf numFmtId="21" fontId="16" fillId="0" borderId="0" xfId="0" applyNumberFormat="1" applyFont="1" applyFill="1" applyAlignment="1">
      <alignment vertical="center" wrapText="1"/>
    </xf>
    <xf numFmtId="1" fontId="0" fillId="0" borderId="0" xfId="0" applyNumberFormat="1"/>
    <xf numFmtId="21" fontId="16" fillId="0" borderId="0" xfId="0" applyNumberFormat="1" applyFont="1" applyFill="1" applyAlignment="1">
      <alignment horizontal="center" vertical="center" wrapText="1"/>
    </xf>
    <xf numFmtId="165" fontId="0" fillId="0" borderId="0" xfId="0" applyNumberFormat="1" applyAlignment="1">
      <alignment horizontal="center"/>
    </xf>
    <xf numFmtId="9" fontId="18" fillId="0" borderId="0" xfId="40" applyFont="1"/>
    <xf numFmtId="167" fontId="19" fillId="24" borderId="10" xfId="0" applyNumberFormat="1" applyFont="1" applyFill="1" applyBorder="1" applyAlignment="1">
      <alignment horizontal="center" vertical="center" wrapText="1"/>
    </xf>
    <xf numFmtId="167" fontId="19" fillId="22" borderId="10" xfId="0" applyNumberFormat="1" applyFont="1" applyFill="1" applyBorder="1" applyAlignment="1">
      <alignment horizontal="center" vertical="center" wrapText="1"/>
    </xf>
    <xf numFmtId="167" fontId="19" fillId="22" borderId="11" xfId="0" applyNumberFormat="1" applyFont="1" applyFill="1" applyBorder="1" applyAlignment="1">
      <alignment horizontal="center" vertical="center" wrapText="1"/>
    </xf>
    <xf numFmtId="0" fontId="0" fillId="0" borderId="0" xfId="0" applyBorder="1"/>
    <xf numFmtId="49" fontId="0" fillId="0" borderId="12" xfId="0" applyNumberFormat="1" applyBorder="1" applyAlignment="1">
      <alignment horizontal="center"/>
    </xf>
    <xf numFmtId="45" fontId="0" fillId="0" borderId="12" xfId="0" applyNumberFormat="1" applyBorder="1" applyAlignment="1">
      <alignment horizontal="center"/>
    </xf>
    <xf numFmtId="49" fontId="0" fillId="0" borderId="0" xfId="0" applyNumberFormat="1" applyFill="1" applyBorder="1" applyAlignment="1">
      <alignment horizontal="left"/>
    </xf>
    <xf numFmtId="167" fontId="19" fillId="24" borderId="11" xfId="0" applyNumberFormat="1" applyFont="1" applyFill="1" applyBorder="1" applyAlignment="1">
      <alignment horizontal="center" vertical="center" wrapText="1"/>
    </xf>
    <xf numFmtId="167" fontId="21" fillId="22" borderId="10" xfId="0" applyNumberFormat="1" applyFont="1" applyFill="1" applyBorder="1" applyAlignment="1">
      <alignment horizontal="center" vertical="center" wrapText="1"/>
    </xf>
    <xf numFmtId="166" fontId="19" fillId="24" borderId="13" xfId="0" applyNumberFormat="1" applyFont="1" applyFill="1" applyBorder="1" applyAlignment="1">
      <alignment horizontal="center" vertical="center" wrapText="1"/>
    </xf>
    <xf numFmtId="166" fontId="19" fillId="22" borderId="13" xfId="0" applyNumberFormat="1" applyFont="1" applyFill="1" applyBorder="1" applyAlignment="1">
      <alignment horizontal="center" vertical="center" wrapText="1"/>
    </xf>
    <xf numFmtId="166" fontId="22" fillId="22" borderId="13" xfId="0" applyNumberFormat="1" applyFont="1" applyFill="1" applyBorder="1" applyAlignment="1">
      <alignment horizontal="center" vertical="center" wrapText="1"/>
    </xf>
    <xf numFmtId="169" fontId="23" fillId="24" borderId="11" xfId="0" applyNumberFormat="1" applyFont="1" applyFill="1" applyBorder="1" applyAlignment="1">
      <alignment horizontal="center" vertical="center" wrapText="1"/>
    </xf>
    <xf numFmtId="169" fontId="23" fillId="25" borderId="11" xfId="0" applyNumberFormat="1" applyFont="1" applyFill="1" applyBorder="1" applyAlignment="1">
      <alignment horizontal="center" vertical="center" wrapText="1"/>
    </xf>
    <xf numFmtId="167" fontId="19" fillId="24" borderId="13" xfId="0" applyNumberFormat="1" applyFont="1" applyFill="1" applyBorder="1" applyAlignment="1">
      <alignment horizontal="center" vertical="center" wrapText="1"/>
    </xf>
    <xf numFmtId="166" fontId="19" fillId="24" borderId="14" xfId="0" applyNumberFormat="1" applyFont="1" applyFill="1" applyBorder="1" applyAlignment="1">
      <alignment horizontal="left" vertical="center" wrapText="1"/>
    </xf>
    <xf numFmtId="172" fontId="19" fillId="24" borderId="15" xfId="0" applyNumberFormat="1" applyFont="1" applyFill="1" applyBorder="1" applyAlignment="1">
      <alignment horizontal="right" vertical="center" wrapText="1"/>
    </xf>
    <xf numFmtId="173" fontId="19" fillId="24" borderId="16" xfId="0" applyNumberFormat="1" applyFont="1" applyFill="1" applyBorder="1" applyAlignment="1">
      <alignment horizontal="right" vertical="center" wrapText="1"/>
    </xf>
    <xf numFmtId="169" fontId="23" fillId="25" borderId="17" xfId="0" applyNumberFormat="1" applyFont="1" applyFill="1" applyBorder="1" applyAlignment="1">
      <alignment horizontal="center" vertical="center" wrapText="1"/>
    </xf>
    <xf numFmtId="167" fontId="19" fillId="22" borderId="13" xfId="0" applyNumberFormat="1" applyFont="1" applyFill="1" applyBorder="1" applyAlignment="1">
      <alignment horizontal="center" vertical="center" wrapText="1"/>
    </xf>
    <xf numFmtId="172" fontId="19" fillId="25" borderId="15" xfId="0" applyNumberFormat="1" applyFont="1" applyFill="1" applyBorder="1" applyAlignment="1">
      <alignment horizontal="right" vertical="center" wrapText="1"/>
    </xf>
    <xf numFmtId="168" fontId="22" fillId="22" borderId="11" xfId="0" applyNumberFormat="1" applyFont="1" applyFill="1" applyBorder="1" applyAlignment="1">
      <alignment horizontal="center" vertical="center" wrapText="1"/>
    </xf>
    <xf numFmtId="170" fontId="19" fillId="25" borderId="18" xfId="0" applyNumberFormat="1" applyFont="1" applyFill="1" applyBorder="1" applyAlignment="1">
      <alignment horizontal="left" vertical="center" wrapText="1"/>
    </xf>
    <xf numFmtId="167" fontId="19" fillId="22" borderId="0" xfId="0" applyNumberFormat="1" applyFont="1" applyFill="1" applyBorder="1" applyAlignment="1">
      <alignment horizontal="center" vertical="center" wrapText="1"/>
    </xf>
    <xf numFmtId="167" fontId="19" fillId="22" borderId="16" xfId="0" applyNumberFormat="1" applyFont="1" applyFill="1" applyBorder="1" applyAlignment="1">
      <alignment horizontal="right" vertical="center" wrapText="1"/>
    </xf>
    <xf numFmtId="166" fontId="19" fillId="22" borderId="15" xfId="0" applyNumberFormat="1" applyFont="1" applyFill="1" applyBorder="1" applyAlignment="1">
      <alignment horizontal="right" vertical="center" wrapText="1"/>
    </xf>
    <xf numFmtId="164" fontId="20" fillId="22" borderId="19" xfId="0" applyNumberFormat="1" applyFont="1" applyFill="1" applyBorder="1" applyAlignment="1">
      <alignment horizontal="left" vertical="center" wrapText="1"/>
    </xf>
    <xf numFmtId="167" fontId="19" fillId="26" borderId="16" xfId="0" applyNumberFormat="1" applyFont="1" applyFill="1" applyBorder="1" applyAlignment="1">
      <alignment horizontal="right" vertical="center" wrapText="1"/>
    </xf>
    <xf numFmtId="167" fontId="19" fillId="26" borderId="0" xfId="0" applyNumberFormat="1" applyFont="1" applyFill="1" applyBorder="1" applyAlignment="1">
      <alignment horizontal="center" vertical="center" wrapText="1"/>
    </xf>
    <xf numFmtId="166" fontId="19" fillId="26" borderId="15" xfId="0" applyNumberFormat="1" applyFont="1" applyFill="1" applyBorder="1" applyAlignment="1">
      <alignment horizontal="right" vertical="center" wrapText="1"/>
    </xf>
    <xf numFmtId="164" fontId="20" fillId="26" borderId="19" xfId="0" applyNumberFormat="1" applyFont="1" applyFill="1" applyBorder="1" applyAlignment="1">
      <alignment horizontal="left" vertical="center" wrapText="1"/>
    </xf>
    <xf numFmtId="166" fontId="21" fillId="26" borderId="11" xfId="0" applyNumberFormat="1" applyFont="1" applyFill="1" applyBorder="1" applyAlignment="1">
      <alignment horizontal="center" vertical="center" wrapText="1"/>
    </xf>
    <xf numFmtId="172" fontId="19" fillId="25" borderId="20" xfId="0" applyNumberFormat="1" applyFont="1" applyFill="1" applyBorder="1" applyAlignment="1">
      <alignment horizontal="right" vertical="center" wrapText="1"/>
    </xf>
    <xf numFmtId="166" fontId="19" fillId="24" borderId="21" xfId="0" applyNumberFormat="1" applyFont="1" applyFill="1" applyBorder="1" applyAlignment="1">
      <alignment horizontal="left" vertical="center" wrapText="1"/>
    </xf>
    <xf numFmtId="175" fontId="19" fillId="24" borderId="20" xfId="0" applyNumberFormat="1" applyFont="1" applyFill="1" applyBorder="1" applyAlignment="1">
      <alignment horizontal="right" vertical="center" wrapText="1"/>
    </xf>
    <xf numFmtId="174" fontId="19" fillId="26" borderId="21" xfId="0" applyNumberFormat="1" applyFont="1" applyFill="1" applyBorder="1" applyAlignment="1">
      <alignment horizontal="left" vertical="center" wrapText="1"/>
    </xf>
    <xf numFmtId="0" fontId="24" fillId="0" borderId="0" xfId="0" applyFont="1" applyAlignment="1">
      <alignment vertical="center" wrapText="1"/>
    </xf>
    <xf numFmtId="0" fontId="26" fillId="0" borderId="0" xfId="0" quotePrefix="1" applyFont="1" applyAlignment="1">
      <alignment horizontal="left" vertical="center"/>
    </xf>
    <xf numFmtId="0" fontId="24" fillId="0" borderId="0" xfId="0" applyFont="1" applyAlignment="1">
      <alignment horizontal="center" vertical="center" wrapText="1"/>
    </xf>
    <xf numFmtId="21" fontId="25" fillId="0" borderId="0" xfId="0" applyNumberFormat="1" applyFont="1" applyFill="1" applyAlignment="1">
      <alignment vertical="center" wrapText="1"/>
    </xf>
    <xf numFmtId="0" fontId="24" fillId="0" borderId="0" xfId="0" applyFont="1"/>
    <xf numFmtId="14" fontId="25" fillId="0" borderId="0" xfId="0" applyNumberFormat="1" applyFont="1" applyFill="1" applyAlignment="1">
      <alignment vertical="center" wrapText="1"/>
    </xf>
    <xf numFmtId="170" fontId="19" fillId="25" borderId="21" xfId="0" applyNumberFormat="1" applyFont="1" applyFill="1" applyBorder="1" applyAlignment="1">
      <alignment horizontal="left" vertical="center" wrapText="1"/>
    </xf>
    <xf numFmtId="166" fontId="21" fillId="22" borderId="22" xfId="0" applyNumberFormat="1" applyFont="1" applyFill="1" applyBorder="1" applyAlignment="1">
      <alignment horizontal="center" vertical="center" wrapText="1"/>
    </xf>
    <xf numFmtId="172" fontId="19" fillId="24" borderId="20" xfId="0" applyNumberFormat="1" applyFont="1" applyFill="1" applyBorder="1" applyAlignment="1">
      <alignment horizontal="right" vertical="center" wrapText="1"/>
    </xf>
    <xf numFmtId="170" fontId="19" fillId="24" borderId="21" xfId="0" applyNumberFormat="1" applyFont="1" applyFill="1" applyBorder="1" applyAlignment="1">
      <alignment horizontal="left" vertical="center" wrapText="1"/>
    </xf>
    <xf numFmtId="0" fontId="0" fillId="0" borderId="0" xfId="0" applyBorder="1" applyAlignment="1">
      <alignment horizontal="center" vertical="center" wrapText="1"/>
    </xf>
    <xf numFmtId="0" fontId="16" fillId="0" borderId="0" xfId="0" applyFont="1" applyFill="1" applyBorder="1" applyAlignment="1">
      <alignment vertical="center" wrapText="1"/>
    </xf>
    <xf numFmtId="0" fontId="0" fillId="0" borderId="0" xfId="0" applyBorder="1" applyAlignment="1">
      <alignment wrapText="1"/>
    </xf>
    <xf numFmtId="0" fontId="29" fillId="0" borderId="0" xfId="0" applyFont="1" applyBorder="1"/>
    <xf numFmtId="166" fontId="19" fillId="22" borderId="22" xfId="0" applyNumberFormat="1" applyFont="1" applyFill="1" applyBorder="1" applyAlignment="1">
      <alignment horizontal="center" vertical="center" wrapText="1"/>
    </xf>
    <xf numFmtId="21" fontId="25" fillId="27" borderId="23" xfId="0" applyNumberFormat="1" applyFont="1" applyFill="1" applyBorder="1" applyAlignment="1">
      <alignment horizontal="center" vertical="center" wrapText="1"/>
    </xf>
    <xf numFmtId="167" fontId="31" fillId="22" borderId="11" xfId="0" applyNumberFormat="1" applyFont="1" applyFill="1" applyBorder="1" applyAlignment="1">
      <alignment horizontal="center" vertical="center" wrapText="1"/>
    </xf>
    <xf numFmtId="166" fontId="19" fillId="26" borderId="24" xfId="0" applyNumberFormat="1" applyFont="1" applyFill="1" applyBorder="1" applyAlignment="1">
      <alignment horizontal="left" vertical="center" wrapText="1"/>
    </xf>
    <xf numFmtId="164" fontId="20" fillId="26" borderId="25" xfId="0" applyNumberFormat="1" applyFont="1" applyFill="1" applyBorder="1" applyAlignment="1">
      <alignment horizontal="left" vertical="center" wrapText="1"/>
    </xf>
    <xf numFmtId="166" fontId="19" fillId="22" borderId="24" xfId="0" applyNumberFormat="1" applyFont="1" applyFill="1" applyBorder="1" applyAlignment="1">
      <alignment horizontal="left" vertical="center" wrapText="1"/>
    </xf>
    <xf numFmtId="164" fontId="20" fillId="22" borderId="25" xfId="0" applyNumberFormat="1" applyFont="1" applyFill="1" applyBorder="1" applyAlignment="1">
      <alignment horizontal="left"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wrapText="1"/>
    </xf>
    <xf numFmtId="0" fontId="33" fillId="0" borderId="0" xfId="0" quotePrefix="1" applyFont="1" applyAlignment="1">
      <alignment horizontal="left" vertical="center"/>
    </xf>
    <xf numFmtId="0" fontId="0" fillId="0" borderId="0" xfId="0" applyAlignment="1">
      <alignment vertical="top" wrapText="1"/>
    </xf>
    <xf numFmtId="0" fontId="0" fillId="0" borderId="0" xfId="0" applyAlignment="1">
      <alignment horizontal="left" vertical="top"/>
    </xf>
    <xf numFmtId="176" fontId="19" fillId="0" borderId="0" xfId="0" applyNumberFormat="1" applyFont="1" applyFill="1" applyBorder="1" applyAlignment="1">
      <alignment horizontal="center" vertical="center" wrapText="1"/>
    </xf>
    <xf numFmtId="0" fontId="35" fillId="0" borderId="26" xfId="34" applyBorder="1" applyAlignment="1" applyProtection="1">
      <alignment horizontal="left" vertical="top"/>
    </xf>
    <xf numFmtId="0" fontId="0" fillId="0" borderId="27" xfId="0" applyBorder="1" applyAlignment="1">
      <alignment vertical="top" wrapText="1"/>
    </xf>
    <xf numFmtId="0" fontId="34" fillId="0" borderId="26" xfId="0" applyFont="1" applyBorder="1" applyAlignment="1">
      <alignment horizontal="left" vertical="top"/>
    </xf>
    <xf numFmtId="166" fontId="19" fillId="24" borderId="11" xfId="0" applyNumberFormat="1" applyFont="1" applyFill="1" applyBorder="1" applyAlignment="1">
      <alignment horizontal="center" vertical="center" wrapText="1"/>
    </xf>
    <xf numFmtId="166" fontId="30" fillId="26" borderId="13" xfId="0" applyNumberFormat="1" applyFont="1" applyFill="1" applyBorder="1" applyAlignment="1">
      <alignment horizontal="center" vertical="center" wrapText="1"/>
    </xf>
    <xf numFmtId="168" fontId="36" fillId="22" borderId="13" xfId="0" applyNumberFormat="1" applyFont="1" applyFill="1" applyBorder="1" applyAlignment="1">
      <alignment horizontal="center" vertical="center" wrapText="1"/>
    </xf>
    <xf numFmtId="177" fontId="19" fillId="22" borderId="16" xfId="0" applyNumberFormat="1" applyFont="1" applyFill="1" applyBorder="1" applyAlignment="1">
      <alignment horizontal="right" vertical="center" wrapText="1"/>
    </xf>
    <xf numFmtId="177" fontId="19" fillId="26" borderId="16" xfId="0" applyNumberFormat="1" applyFont="1" applyFill="1" applyBorder="1" applyAlignment="1">
      <alignment horizontal="right" vertical="center" wrapText="1"/>
    </xf>
    <xf numFmtId="166" fontId="19" fillId="26" borderId="16" xfId="0" applyNumberFormat="1" applyFont="1" applyFill="1" applyBorder="1" applyAlignment="1">
      <alignment horizontal="right" vertical="center" wrapText="1"/>
    </xf>
    <xf numFmtId="164" fontId="20" fillId="26" borderId="0" xfId="0" applyNumberFormat="1" applyFont="1" applyFill="1" applyBorder="1" applyAlignment="1">
      <alignment horizontal="left" vertical="center" wrapText="1"/>
    </xf>
    <xf numFmtId="164" fontId="20" fillId="26" borderId="24" xfId="0" applyNumberFormat="1" applyFont="1" applyFill="1" applyBorder="1" applyAlignment="1">
      <alignment horizontal="left" vertical="center" wrapText="1"/>
    </xf>
    <xf numFmtId="167" fontId="19" fillId="26" borderId="0" xfId="0" applyNumberFormat="1" applyFont="1" applyFill="1" applyBorder="1" applyAlignment="1">
      <alignment horizontal="center" vertical="center" wrapText="1"/>
    </xf>
    <xf numFmtId="166" fontId="19" fillId="26" borderId="24" xfId="0" applyNumberFormat="1" applyFont="1" applyFill="1" applyBorder="1" applyAlignment="1">
      <alignment horizontal="left" vertical="center" wrapText="1"/>
    </xf>
    <xf numFmtId="49" fontId="21" fillId="22" borderId="18" xfId="0" applyNumberFormat="1" applyFont="1" applyFill="1" applyBorder="1" applyAlignment="1">
      <alignment horizontal="center" vertical="center" wrapText="1"/>
    </xf>
    <xf numFmtId="166" fontId="19" fillId="26" borderId="28" xfId="0" applyNumberFormat="1" applyFont="1" applyFill="1" applyBorder="1" applyAlignment="1">
      <alignment horizontal="left" vertical="center" wrapText="1"/>
    </xf>
    <xf numFmtId="177" fontId="19" fillId="22" borderId="16" xfId="0" applyNumberFormat="1" applyFont="1" applyFill="1" applyBorder="1" applyAlignment="1">
      <alignment horizontal="right" vertical="center" wrapText="1"/>
    </xf>
    <xf numFmtId="166" fontId="19" fillId="22" borderId="28" xfId="0" applyNumberFormat="1" applyFont="1" applyFill="1" applyBorder="1" applyAlignment="1">
      <alignment horizontal="left" vertical="center" wrapText="1"/>
    </xf>
    <xf numFmtId="166" fontId="19" fillId="24" borderId="14" xfId="0" applyNumberFormat="1" applyFont="1" applyFill="1" applyBorder="1" applyAlignment="1">
      <alignment horizontal="left" vertical="center" wrapText="1"/>
    </xf>
    <xf numFmtId="171" fontId="19" fillId="25" borderId="16" xfId="0" applyNumberFormat="1" applyFont="1" applyFill="1" applyBorder="1" applyAlignment="1">
      <alignment horizontal="right" vertical="center" wrapText="1"/>
    </xf>
    <xf numFmtId="166" fontId="19" fillId="25" borderId="14" xfId="0" applyNumberFormat="1" applyFont="1" applyFill="1" applyBorder="1" applyAlignment="1">
      <alignment horizontal="left" vertical="center" wrapText="1"/>
    </xf>
    <xf numFmtId="172" fontId="19" fillId="25" borderId="16" xfId="0" applyNumberFormat="1" applyFont="1" applyFill="1" applyBorder="1" applyAlignment="1">
      <alignment horizontal="right" vertical="center" wrapText="1"/>
    </xf>
    <xf numFmtId="170" fontId="19" fillId="25" borderId="14" xfId="0" applyNumberFormat="1" applyFont="1" applyFill="1" applyBorder="1" applyAlignment="1">
      <alignment horizontal="left" vertical="center" wrapText="1"/>
    </xf>
    <xf numFmtId="172" fontId="19" fillId="25" borderId="15" xfId="0" applyNumberFormat="1" applyFont="1" applyFill="1" applyBorder="1" applyAlignment="1">
      <alignment horizontal="right" vertical="center" wrapText="1"/>
    </xf>
    <xf numFmtId="170" fontId="19" fillId="25" borderId="18" xfId="0" applyNumberFormat="1" applyFont="1" applyFill="1" applyBorder="1" applyAlignment="1">
      <alignment horizontal="left" vertical="center" wrapText="1"/>
    </xf>
    <xf numFmtId="171" fontId="19" fillId="24" borderId="16" xfId="0" applyNumberFormat="1" applyFont="1" applyFill="1" applyBorder="1" applyAlignment="1">
      <alignment horizontal="right" vertical="center" wrapText="1"/>
    </xf>
    <xf numFmtId="172" fontId="19" fillId="24" borderId="16" xfId="0" applyNumberFormat="1" applyFont="1" applyFill="1" applyBorder="1" applyAlignment="1">
      <alignment horizontal="right" vertical="center" wrapText="1"/>
    </xf>
    <xf numFmtId="172" fontId="19" fillId="24" borderId="15" xfId="0" applyNumberFormat="1" applyFont="1" applyFill="1" applyBorder="1" applyAlignment="1">
      <alignment horizontal="right" vertical="center" wrapText="1"/>
    </xf>
    <xf numFmtId="170" fontId="19" fillId="24" borderId="18" xfId="0" applyNumberFormat="1" applyFont="1" applyFill="1" applyBorder="1" applyAlignment="1">
      <alignment horizontal="left" vertical="center" wrapText="1"/>
    </xf>
    <xf numFmtId="0" fontId="24" fillId="0" borderId="0" xfId="0" applyFont="1" applyAlignment="1">
      <alignment horizontal="left" vertical="center" wrapText="1"/>
    </xf>
    <xf numFmtId="177" fontId="19" fillId="26" borderId="20" xfId="0" applyNumberFormat="1" applyFont="1" applyFill="1" applyBorder="1" applyAlignment="1">
      <alignment horizontal="right" vertical="center" wrapText="1"/>
    </xf>
    <xf numFmtId="166" fontId="19" fillId="26" borderId="21" xfId="0" applyNumberFormat="1" applyFont="1" applyFill="1" applyBorder="1" applyAlignment="1">
      <alignment horizontal="left" vertical="center" wrapText="1"/>
    </xf>
    <xf numFmtId="177" fontId="19" fillId="22" borderId="20" xfId="0" applyNumberFormat="1" applyFont="1" applyFill="1" applyBorder="1" applyAlignment="1">
      <alignment horizontal="right" vertical="center" wrapText="1"/>
    </xf>
    <xf numFmtId="166" fontId="19" fillId="22" borderId="21" xfId="0" applyNumberFormat="1" applyFont="1" applyFill="1" applyBorder="1" applyAlignment="1">
      <alignment horizontal="left" vertical="center" wrapText="1"/>
    </xf>
    <xf numFmtId="0" fontId="25" fillId="0" borderId="0" xfId="0" applyFont="1" applyAlignment="1">
      <alignment horizontal="center" vertical="center" wrapText="1"/>
    </xf>
    <xf numFmtId="167" fontId="37" fillId="24" borderId="13" xfId="0" applyNumberFormat="1" applyFont="1" applyFill="1" applyBorder="1" applyAlignment="1">
      <alignment horizontal="center" vertical="center" wrapText="1"/>
    </xf>
    <xf numFmtId="178" fontId="19" fillId="22" borderId="16" xfId="0" applyNumberFormat="1" applyFont="1" applyFill="1" applyBorder="1" applyAlignment="1">
      <alignment horizontal="right" vertical="center" wrapText="1"/>
    </xf>
    <xf numFmtId="177" fontId="19" fillId="22" borderId="16" xfId="0" quotePrefix="1" applyNumberFormat="1" applyFont="1" applyFill="1" applyBorder="1" applyAlignment="1">
      <alignment horizontal="right" vertical="center" wrapText="1"/>
    </xf>
    <xf numFmtId="177" fontId="19" fillId="26" borderId="16" xfId="0" quotePrefix="1" applyNumberFormat="1" applyFont="1" applyFill="1" applyBorder="1" applyAlignment="1">
      <alignment horizontal="right" vertical="center" wrapText="1"/>
    </xf>
    <xf numFmtId="9" fontId="18" fillId="27" borderId="23" xfId="40" applyFont="1" applyFill="1" applyBorder="1" applyAlignment="1">
      <alignment horizontal="center" vertical="center" wrapText="1"/>
    </xf>
    <xf numFmtId="167" fontId="19" fillId="22" borderId="16" xfId="0" quotePrefix="1" applyNumberFormat="1" applyFont="1" applyFill="1" applyBorder="1" applyAlignment="1">
      <alignment horizontal="right" vertical="center" wrapText="1"/>
    </xf>
    <xf numFmtId="167" fontId="39" fillId="22" borderId="29" xfId="0" applyNumberFormat="1" applyFont="1" applyFill="1" applyBorder="1" applyAlignment="1">
      <alignment horizontal="center" vertical="center" wrapText="1"/>
    </xf>
    <xf numFmtId="167" fontId="39" fillId="24" borderId="29" xfId="0" applyNumberFormat="1" applyFont="1" applyFill="1" applyBorder="1" applyAlignment="1">
      <alignment horizontal="center" vertical="center" wrapText="1"/>
    </xf>
    <xf numFmtId="167" fontId="39" fillId="24" borderId="0" xfId="0" applyNumberFormat="1" applyFont="1" applyFill="1" applyBorder="1" applyAlignment="1">
      <alignment horizontal="center" vertical="center" wrapText="1"/>
    </xf>
    <xf numFmtId="167" fontId="39" fillId="24" borderId="16" xfId="0" applyNumberFormat="1" applyFont="1" applyFill="1" applyBorder="1" applyAlignment="1">
      <alignment horizontal="center" vertical="center" wrapText="1"/>
    </xf>
    <xf numFmtId="167" fontId="39" fillId="24" borderId="15" xfId="0" applyNumberFormat="1" applyFont="1" applyFill="1" applyBorder="1" applyAlignment="1">
      <alignment horizontal="center" vertical="center" wrapText="1"/>
    </xf>
    <xf numFmtId="167" fontId="39" fillId="26" borderId="29" xfId="0" applyNumberFormat="1" applyFont="1" applyFill="1" applyBorder="1" applyAlignment="1">
      <alignment horizontal="center" vertical="center" wrapText="1"/>
    </xf>
    <xf numFmtId="167" fontId="39" fillId="26" borderId="16" xfId="0" applyNumberFormat="1" applyFont="1" applyFill="1" applyBorder="1" applyAlignment="1">
      <alignment horizontal="center" vertical="center" wrapText="1"/>
    </xf>
    <xf numFmtId="167" fontId="39" fillId="22" borderId="16" xfId="0" applyNumberFormat="1" applyFont="1" applyFill="1" applyBorder="1" applyAlignment="1">
      <alignment horizontal="center" vertical="center" wrapText="1"/>
    </xf>
    <xf numFmtId="167" fontId="19" fillId="22" borderId="0" xfId="0" applyNumberFormat="1" applyFont="1" applyFill="1" applyBorder="1" applyAlignment="1">
      <alignment horizontal="center" vertical="center" wrapText="1"/>
    </xf>
    <xf numFmtId="166" fontId="19" fillId="22" borderId="24" xfId="0" applyNumberFormat="1" applyFont="1" applyFill="1" applyBorder="1" applyAlignment="1">
      <alignment horizontal="left" vertical="center" wrapText="1"/>
    </xf>
    <xf numFmtId="167" fontId="19" fillId="26" borderId="16" xfId="0" quotePrefix="1" applyNumberFormat="1" applyFont="1" applyFill="1" applyBorder="1" applyAlignment="1">
      <alignment horizontal="right" vertical="center" wrapText="1"/>
    </xf>
    <xf numFmtId="167" fontId="38" fillId="0" borderId="0" xfId="0" applyNumberFormat="1" applyFont="1" applyAlignment="1">
      <alignment horizontal="center" vertical="center" wrapText="1"/>
    </xf>
    <xf numFmtId="167" fontId="39" fillId="0" borderId="0" xfId="0" applyNumberFormat="1" applyFont="1" applyAlignment="1">
      <alignment horizontal="center" vertical="center" wrapText="1"/>
    </xf>
    <xf numFmtId="167" fontId="40" fillId="25" borderId="30" xfId="0" applyNumberFormat="1" applyFont="1" applyFill="1" applyBorder="1" applyAlignment="1">
      <alignment horizontal="center" vertical="center" wrapText="1"/>
    </xf>
    <xf numFmtId="167" fontId="39" fillId="22" borderId="19" xfId="0" applyNumberFormat="1" applyFont="1" applyFill="1" applyBorder="1" applyAlignment="1">
      <alignment horizontal="center" vertical="center" wrapText="1"/>
    </xf>
    <xf numFmtId="167" fontId="40" fillId="24" borderId="16" xfId="0" applyNumberFormat="1" applyFont="1" applyFill="1" applyBorder="1" applyAlignment="1">
      <alignment horizontal="center" vertical="center" wrapText="1"/>
    </xf>
    <xf numFmtId="167" fontId="39" fillId="26" borderId="15" xfId="0" applyNumberFormat="1" applyFont="1" applyFill="1" applyBorder="1" applyAlignment="1">
      <alignment horizontal="center" vertical="center" wrapText="1"/>
    </xf>
    <xf numFmtId="167" fontId="40" fillId="25" borderId="16" xfId="0" applyNumberFormat="1" applyFont="1" applyFill="1" applyBorder="1" applyAlignment="1">
      <alignment horizontal="center" vertical="center" wrapText="1"/>
    </xf>
    <xf numFmtId="167" fontId="39" fillId="22" borderId="15" xfId="0" applyNumberFormat="1" applyFont="1" applyFill="1" applyBorder="1" applyAlignment="1">
      <alignment horizontal="center" vertical="center" wrapText="1"/>
    </xf>
    <xf numFmtId="167" fontId="39" fillId="22" borderId="0" xfId="0" applyNumberFormat="1" applyFont="1" applyFill="1" applyBorder="1" applyAlignment="1">
      <alignment horizontal="center" vertical="center" wrapText="1"/>
    </xf>
    <xf numFmtId="167" fontId="39" fillId="22" borderId="20" xfId="0" applyNumberFormat="1" applyFont="1" applyFill="1" applyBorder="1" applyAlignment="1">
      <alignment horizontal="center" vertical="center" wrapText="1"/>
    </xf>
    <xf numFmtId="167" fontId="39" fillId="0" borderId="0" xfId="0" applyNumberFormat="1" applyFont="1" applyBorder="1" applyAlignment="1">
      <alignment horizontal="center" vertical="center" wrapText="1"/>
    </xf>
    <xf numFmtId="0" fontId="5" fillId="13" borderId="31"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33" xfId="0" applyFont="1" applyFill="1" applyBorder="1" applyAlignment="1">
      <alignment horizontal="center" vertical="center" wrapText="1"/>
    </xf>
    <xf numFmtId="167" fontId="39" fillId="13" borderId="33" xfId="0" applyNumberFormat="1" applyFont="1" applyFill="1" applyBorder="1" applyAlignment="1">
      <alignment horizontal="center" vertical="center" wrapText="1"/>
    </xf>
    <xf numFmtId="0" fontId="5" fillId="28" borderId="34" xfId="0" applyFont="1" applyFill="1" applyBorder="1" applyAlignment="1">
      <alignment horizontal="center" vertical="center" wrapText="1"/>
    </xf>
    <xf numFmtId="167" fontId="19" fillId="22" borderId="35" xfId="0" applyNumberFormat="1" applyFont="1" applyFill="1" applyBorder="1" applyAlignment="1">
      <alignment horizontal="center" vertical="center" wrapText="1"/>
    </xf>
    <xf numFmtId="167" fontId="19" fillId="22" borderId="36" xfId="0" applyNumberFormat="1" applyFont="1" applyFill="1" applyBorder="1" applyAlignment="1">
      <alignment horizontal="center" vertical="center" wrapText="1"/>
    </xf>
    <xf numFmtId="166" fontId="19" fillId="22" borderId="37" xfId="0" applyNumberFormat="1" applyFont="1" applyFill="1" applyBorder="1" applyAlignment="1">
      <alignment horizontal="center" vertical="center" wrapText="1"/>
    </xf>
    <xf numFmtId="169" fontId="23" fillId="24" borderId="36" xfId="0" applyNumberFormat="1" applyFont="1" applyFill="1" applyBorder="1" applyAlignment="1">
      <alignment horizontal="center" vertical="center" wrapText="1"/>
    </xf>
    <xf numFmtId="167" fontId="19" fillId="24" borderId="35" xfId="0" applyNumberFormat="1" applyFont="1" applyFill="1" applyBorder="1" applyAlignment="1">
      <alignment horizontal="center" vertical="center" wrapText="1"/>
    </xf>
    <xf numFmtId="167" fontId="19" fillId="24" borderId="36" xfId="0" applyNumberFormat="1" applyFont="1" applyFill="1" applyBorder="1" applyAlignment="1">
      <alignment horizontal="center" vertical="center" wrapText="1"/>
    </xf>
    <xf numFmtId="166" fontId="19" fillId="24" borderId="37" xfId="0" applyNumberFormat="1" applyFont="1" applyFill="1" applyBorder="1" applyAlignment="1">
      <alignment horizontal="center" vertical="center" wrapText="1"/>
    </xf>
    <xf numFmtId="169" fontId="23" fillId="25" borderId="36" xfId="0" applyNumberFormat="1" applyFont="1" applyFill="1" applyBorder="1" applyAlignment="1">
      <alignment horizontal="center" vertical="center" wrapText="1"/>
    </xf>
    <xf numFmtId="166" fontId="19" fillId="24" borderId="36" xfId="0" applyNumberFormat="1" applyFont="1" applyFill="1" applyBorder="1" applyAlignment="1">
      <alignment horizontal="center" vertical="center" wrapText="1"/>
    </xf>
    <xf numFmtId="167" fontId="19" fillId="22" borderId="37" xfId="0" applyNumberFormat="1" applyFont="1" applyFill="1" applyBorder="1" applyAlignment="1">
      <alignment horizontal="center" vertical="center" wrapText="1"/>
    </xf>
    <xf numFmtId="166" fontId="19" fillId="22" borderId="38" xfId="0" applyNumberFormat="1" applyFont="1" applyFill="1" applyBorder="1" applyAlignment="1">
      <alignment horizontal="center" vertical="center" wrapText="1"/>
    </xf>
    <xf numFmtId="0" fontId="0" fillId="0" borderId="12" xfId="0" applyBorder="1" applyAlignment="1">
      <alignment horizontal="center" vertical="center" wrapText="1"/>
    </xf>
    <xf numFmtId="165" fontId="0" fillId="0" borderId="12" xfId="0" applyNumberFormat="1" applyBorder="1" applyAlignment="1">
      <alignment horizontal="center"/>
    </xf>
    <xf numFmtId="21" fontId="0" fillId="0" borderId="12" xfId="0" applyNumberFormat="1" applyFont="1" applyFill="1" applyBorder="1" applyAlignment="1">
      <alignment horizontal="center" vertical="center" wrapText="1"/>
    </xf>
    <xf numFmtId="0" fontId="0" fillId="0" borderId="12" xfId="0" applyBorder="1"/>
    <xf numFmtId="165" fontId="0" fillId="0" borderId="39" xfId="0" applyNumberFormat="1" applyBorder="1" applyAlignment="1">
      <alignment horizontal="center"/>
    </xf>
    <xf numFmtId="49" fontId="0" fillId="0" borderId="39" xfId="0" applyNumberFormat="1" applyBorder="1" applyAlignment="1">
      <alignment horizontal="center"/>
    </xf>
    <xf numFmtId="45" fontId="0" fillId="0" borderId="39" xfId="0" applyNumberFormat="1" applyBorder="1" applyAlignment="1">
      <alignment horizontal="center"/>
    </xf>
    <xf numFmtId="0" fontId="0" fillId="0" borderId="40" xfId="0" applyBorder="1"/>
    <xf numFmtId="21" fontId="0" fillId="0" borderId="40" xfId="0" applyNumberFormat="1" applyFont="1" applyFill="1" applyBorder="1" applyAlignment="1">
      <alignment horizontal="center" vertical="center" wrapText="1"/>
    </xf>
    <xf numFmtId="165" fontId="0" fillId="0" borderId="40" xfId="0" applyNumberFormat="1" applyBorder="1" applyAlignment="1">
      <alignment horizontal="center"/>
    </xf>
    <xf numFmtId="49" fontId="0" fillId="0" borderId="40" xfId="0" applyNumberFormat="1" applyBorder="1" applyAlignment="1">
      <alignment horizontal="center"/>
    </xf>
    <xf numFmtId="45" fontId="0" fillId="0" borderId="40" xfId="0" applyNumberFormat="1" applyBorder="1" applyAlignment="1">
      <alignment horizontal="center"/>
    </xf>
    <xf numFmtId="0" fontId="0" fillId="0" borderId="41" xfId="0" applyBorder="1" applyAlignment="1">
      <alignment vertical="center" wrapText="1"/>
    </xf>
    <xf numFmtId="0" fontId="0" fillId="0" borderId="42" xfId="0" applyBorder="1" applyAlignment="1">
      <alignment horizontal="center" vertical="center" wrapText="1"/>
    </xf>
    <xf numFmtId="21" fontId="0" fillId="0" borderId="42" xfId="0" applyNumberFormat="1" applyFont="1" applyFill="1" applyBorder="1" applyAlignment="1">
      <alignment horizontal="center" vertical="center" wrapText="1"/>
    </xf>
    <xf numFmtId="165" fontId="0" fillId="0" borderId="42" xfId="0" applyNumberFormat="1" applyBorder="1" applyAlignment="1">
      <alignment horizontal="center"/>
    </xf>
    <xf numFmtId="49" fontId="0" fillId="0" borderId="42" xfId="0" applyNumberFormat="1" applyBorder="1" applyAlignment="1">
      <alignment horizontal="center"/>
    </xf>
    <xf numFmtId="45" fontId="0" fillId="0" borderId="42" xfId="0" applyNumberFormat="1" applyBorder="1" applyAlignment="1">
      <alignment horizontal="center"/>
    </xf>
    <xf numFmtId="45" fontId="0" fillId="0" borderId="43" xfId="0" applyNumberFormat="1" applyBorder="1" applyAlignment="1">
      <alignment horizontal="center"/>
    </xf>
    <xf numFmtId="0" fontId="0" fillId="0" borderId="44" xfId="0" applyBorder="1" applyAlignment="1">
      <alignment vertical="center" wrapText="1"/>
    </xf>
    <xf numFmtId="45" fontId="0" fillId="0" borderId="45" xfId="0" applyNumberFormat="1" applyBorder="1" applyAlignment="1">
      <alignment horizontal="center"/>
    </xf>
    <xf numFmtId="0" fontId="0" fillId="0" borderId="46" xfId="0" applyBorder="1" applyAlignment="1">
      <alignment vertical="center" wrapText="1"/>
    </xf>
    <xf numFmtId="0" fontId="0" fillId="0" borderId="47" xfId="0" applyBorder="1" applyAlignment="1">
      <alignment horizontal="center" vertical="center" wrapText="1"/>
    </xf>
    <xf numFmtId="21" fontId="0" fillId="0" borderId="47" xfId="0" applyNumberFormat="1" applyFont="1" applyFill="1" applyBorder="1" applyAlignment="1">
      <alignment horizontal="center" vertical="center" wrapText="1"/>
    </xf>
    <xf numFmtId="165" fontId="0" fillId="0" borderId="47" xfId="0" applyNumberFormat="1" applyBorder="1" applyAlignment="1">
      <alignment horizontal="center"/>
    </xf>
    <xf numFmtId="49" fontId="0" fillId="0" borderId="47" xfId="0" applyNumberFormat="1" applyBorder="1" applyAlignment="1">
      <alignment horizontal="center"/>
    </xf>
    <xf numFmtId="45" fontId="0" fillId="0" borderId="47" xfId="0" applyNumberFormat="1" applyBorder="1" applyAlignment="1">
      <alignment horizontal="center"/>
    </xf>
    <xf numFmtId="45" fontId="0" fillId="0" borderId="48" xfId="0" applyNumberFormat="1" applyBorder="1" applyAlignment="1">
      <alignment horizontal="center"/>
    </xf>
    <xf numFmtId="0" fontId="0" fillId="0" borderId="49" xfId="0" applyBorder="1" applyAlignment="1">
      <alignment vertical="center" wrapText="1"/>
    </xf>
    <xf numFmtId="0" fontId="0" fillId="0" borderId="49" xfId="0" applyBorder="1" applyAlignment="1">
      <alignment horizontal="center" vertical="center" wrapText="1"/>
    </xf>
    <xf numFmtId="21" fontId="16" fillId="0" borderId="49" xfId="0" applyNumberFormat="1" applyFont="1" applyFill="1" applyBorder="1" applyAlignment="1">
      <alignment horizontal="center" vertical="center" wrapText="1"/>
    </xf>
    <xf numFmtId="165" fontId="0" fillId="0" borderId="49" xfId="0" applyNumberFormat="1" applyBorder="1" applyAlignment="1">
      <alignment horizontal="center"/>
    </xf>
    <xf numFmtId="49" fontId="0" fillId="0" borderId="49" xfId="0" applyNumberFormat="1" applyBorder="1" applyAlignment="1">
      <alignment horizontal="center"/>
    </xf>
    <xf numFmtId="45" fontId="0" fillId="0" borderId="49" xfId="0" applyNumberFormat="1" applyBorder="1" applyAlignment="1">
      <alignment horizontal="center"/>
    </xf>
    <xf numFmtId="0" fontId="0" fillId="0" borderId="49" xfId="0" applyBorder="1" applyAlignment="1">
      <alignment horizontal="center"/>
    </xf>
    <xf numFmtId="0" fontId="0" fillId="0" borderId="50" xfId="0" applyBorder="1" applyAlignment="1">
      <alignment wrapText="1"/>
    </xf>
    <xf numFmtId="0" fontId="0" fillId="0" borderId="51" xfId="0" applyBorder="1" applyAlignment="1">
      <alignment horizontal="center" wrapText="1"/>
    </xf>
    <xf numFmtId="49" fontId="0" fillId="0" borderId="51" xfId="0" applyNumberFormat="1" applyBorder="1" applyAlignment="1">
      <alignment horizontal="center" wrapText="1"/>
    </xf>
    <xf numFmtId="0" fontId="0" fillId="0" borderId="52" xfId="0" applyBorder="1" applyAlignment="1">
      <alignment horizontal="center" wrapText="1"/>
    </xf>
    <xf numFmtId="0" fontId="0" fillId="0" borderId="39" xfId="0" applyBorder="1"/>
    <xf numFmtId="21" fontId="0" fillId="0" borderId="39" xfId="0" applyNumberFormat="1" applyFont="1" applyFill="1" applyBorder="1" applyAlignment="1">
      <alignment horizontal="center" vertical="center" wrapText="1"/>
    </xf>
    <xf numFmtId="0" fontId="0" fillId="0" borderId="41" xfId="0" applyBorder="1"/>
    <xf numFmtId="0" fontId="0" fillId="0" borderId="44" xfId="0" applyBorder="1"/>
    <xf numFmtId="0" fontId="0" fillId="0" borderId="46" xfId="0" applyBorder="1"/>
    <xf numFmtId="0" fontId="0" fillId="29" borderId="42" xfId="0" applyFill="1" applyBorder="1"/>
    <xf numFmtId="21" fontId="0" fillId="29" borderId="42" xfId="0" applyNumberFormat="1" applyFont="1" applyFill="1" applyBorder="1" applyAlignment="1">
      <alignment horizontal="center" vertical="center" wrapText="1"/>
    </xf>
    <xf numFmtId="0" fontId="0" fillId="29" borderId="12" xfId="0" applyFill="1" applyBorder="1"/>
    <xf numFmtId="21" fontId="0" fillId="29" borderId="12" xfId="0" applyNumberFormat="1" applyFont="1" applyFill="1" applyBorder="1" applyAlignment="1">
      <alignment horizontal="center" vertical="center" wrapText="1"/>
    </xf>
    <xf numFmtId="0" fontId="0" fillId="29" borderId="47" xfId="0" applyFill="1" applyBorder="1"/>
    <xf numFmtId="21" fontId="0" fillId="29" borderId="47" xfId="0" applyNumberFormat="1" applyFont="1" applyFill="1" applyBorder="1" applyAlignment="1">
      <alignment horizontal="center" vertical="center" wrapText="1"/>
    </xf>
    <xf numFmtId="167" fontId="21" fillId="0" borderId="0" xfId="0" applyNumberFormat="1" applyFont="1" applyFill="1" applyBorder="1" applyAlignment="1">
      <alignment horizontal="center" vertical="center" wrapText="1"/>
    </xf>
    <xf numFmtId="167" fontId="21" fillId="0" borderId="49" xfId="0" applyNumberFormat="1" applyFont="1" applyFill="1" applyBorder="1" applyAlignment="1">
      <alignment horizontal="center" vertical="center" wrapText="1"/>
    </xf>
    <xf numFmtId="166" fontId="21" fillId="0" borderId="40" xfId="0" applyNumberFormat="1" applyFont="1" applyFill="1" applyBorder="1" applyAlignment="1">
      <alignment horizontal="center" vertical="center" wrapText="1"/>
    </xf>
    <xf numFmtId="169" fontId="23" fillId="0" borderId="39" xfId="0" applyNumberFormat="1" applyFont="1" applyFill="1" applyBorder="1" applyAlignment="1">
      <alignment horizontal="center" vertical="center" wrapText="1"/>
    </xf>
    <xf numFmtId="0" fontId="21" fillId="0" borderId="49" xfId="0" applyFont="1" applyFill="1" applyBorder="1" applyAlignment="1">
      <alignment horizontal="center" vertical="center" wrapText="1"/>
    </xf>
    <xf numFmtId="178" fontId="19" fillId="26" borderId="16" xfId="0" applyNumberFormat="1" applyFont="1" applyFill="1" applyBorder="1" applyAlignment="1">
      <alignment horizontal="right" vertical="center" wrapText="1"/>
    </xf>
    <xf numFmtId="178" fontId="19" fillId="26" borderId="20" xfId="0" applyNumberFormat="1" applyFont="1" applyFill="1" applyBorder="1" applyAlignment="1">
      <alignment horizontal="right" vertical="center" wrapText="1"/>
    </xf>
    <xf numFmtId="168" fontId="21" fillId="22" borderId="13" xfId="0" applyNumberFormat="1" applyFont="1" applyFill="1" applyBorder="1" applyAlignment="1">
      <alignment horizontal="center" vertical="center" wrapText="1"/>
    </xf>
    <xf numFmtId="166" fontId="19" fillId="25" borderId="14" xfId="0" applyNumberFormat="1" applyFont="1" applyFill="1" applyBorder="1" applyAlignment="1">
      <alignment horizontal="center" vertical="center" wrapText="1"/>
    </xf>
    <xf numFmtId="166" fontId="19" fillId="30" borderId="14" xfId="0" applyNumberFormat="1" applyFont="1" applyFill="1" applyBorder="1" applyAlignment="1">
      <alignment horizontal="center" vertical="center" wrapText="1"/>
    </xf>
    <xf numFmtId="177" fontId="19" fillId="32" borderId="16" xfId="0" applyNumberFormat="1" applyFont="1" applyFill="1" applyBorder="1" applyAlignment="1">
      <alignment horizontal="right" vertical="center" wrapText="1"/>
    </xf>
    <xf numFmtId="166" fontId="19" fillId="32" borderId="28" xfId="0" applyNumberFormat="1" applyFont="1" applyFill="1" applyBorder="1" applyAlignment="1">
      <alignment horizontal="left" vertical="center" wrapText="1"/>
    </xf>
    <xf numFmtId="171" fontId="19" fillId="31" borderId="16" xfId="0" applyNumberFormat="1" applyFont="1" applyFill="1" applyBorder="1" applyAlignment="1">
      <alignment horizontal="right" vertical="center" wrapText="1"/>
    </xf>
    <xf numFmtId="166" fontId="19" fillId="31" borderId="14" xfId="0" applyNumberFormat="1" applyFont="1" applyFill="1" applyBorder="1" applyAlignment="1">
      <alignment horizontal="left" vertical="center" wrapText="1"/>
    </xf>
    <xf numFmtId="172" fontId="19" fillId="31" borderId="16" xfId="0" applyNumberFormat="1" applyFont="1" applyFill="1" applyBorder="1" applyAlignment="1">
      <alignment horizontal="right" vertical="center" wrapText="1"/>
    </xf>
    <xf numFmtId="171" fontId="19" fillId="30" borderId="16" xfId="0" applyNumberFormat="1" applyFont="1" applyFill="1" applyBorder="1" applyAlignment="1">
      <alignment horizontal="right" vertical="center" wrapText="1"/>
    </xf>
    <xf numFmtId="166" fontId="19" fillId="30" borderId="14" xfId="0" applyNumberFormat="1" applyFont="1" applyFill="1" applyBorder="1" applyAlignment="1">
      <alignment horizontal="left" vertical="center" wrapText="1"/>
    </xf>
    <xf numFmtId="172" fontId="19" fillId="30" borderId="16" xfId="0" applyNumberFormat="1" applyFont="1" applyFill="1" applyBorder="1" applyAlignment="1">
      <alignment horizontal="right" vertical="center" wrapText="1"/>
    </xf>
    <xf numFmtId="170" fontId="19" fillId="30" borderId="14" xfId="0" applyNumberFormat="1" applyFont="1" applyFill="1" applyBorder="1" applyAlignment="1">
      <alignment horizontal="left" vertical="center" wrapText="1"/>
    </xf>
    <xf numFmtId="173" fontId="19" fillId="31" borderId="16" xfId="0" applyNumberFormat="1" applyFont="1" applyFill="1" applyBorder="1" applyAlignment="1">
      <alignment horizontal="right" vertical="center" wrapText="1"/>
    </xf>
    <xf numFmtId="166" fontId="19" fillId="32" borderId="0" xfId="0" applyNumberFormat="1" applyFont="1" applyFill="1" applyBorder="1" applyAlignment="1">
      <alignment horizontal="left" vertical="center" wrapText="1"/>
    </xf>
    <xf numFmtId="178" fontId="19" fillId="32" borderId="16" xfId="0" applyNumberFormat="1" applyFont="1" applyFill="1" applyBorder="1" applyAlignment="1">
      <alignment horizontal="right" vertical="center" wrapText="1"/>
    </xf>
    <xf numFmtId="0" fontId="0" fillId="33" borderId="0" xfId="0" applyFill="1" applyAlignment="1">
      <alignment horizontal="center" vertical="center" wrapText="1"/>
    </xf>
    <xf numFmtId="167" fontId="39" fillId="33" borderId="0" xfId="0" applyNumberFormat="1" applyFont="1" applyFill="1" applyAlignment="1">
      <alignment horizontal="center" vertical="center" wrapText="1"/>
    </xf>
    <xf numFmtId="0" fontId="16" fillId="33" borderId="0" xfId="0" applyFont="1" applyFill="1" applyAlignment="1">
      <alignment vertical="center" wrapText="1"/>
    </xf>
    <xf numFmtId="0" fontId="32" fillId="33" borderId="0" xfId="0" applyFont="1" applyFill="1" applyAlignment="1">
      <alignment horizontal="center" vertical="center" wrapText="1"/>
    </xf>
    <xf numFmtId="169" fontId="23" fillId="24" borderId="67" xfId="0" applyNumberFormat="1" applyFont="1" applyFill="1" applyBorder="1" applyAlignment="1">
      <alignment horizontal="center" vertical="center" wrapText="1"/>
    </xf>
    <xf numFmtId="169" fontId="23" fillId="24" borderId="68" xfId="0" applyNumberFormat="1" applyFont="1" applyFill="1" applyBorder="1" applyAlignment="1">
      <alignment horizontal="center" vertical="center" wrapText="1"/>
    </xf>
    <xf numFmtId="167" fontId="40" fillId="24" borderId="71" xfId="0" applyNumberFormat="1" applyFont="1" applyFill="1" applyBorder="1" applyAlignment="1">
      <alignment horizontal="center" vertical="center" wrapText="1"/>
    </xf>
    <xf numFmtId="178" fontId="19" fillId="26" borderId="15" xfId="0" applyNumberFormat="1" applyFont="1" applyFill="1" applyBorder="1" applyAlignment="1">
      <alignment horizontal="right" vertical="center" wrapText="1"/>
    </xf>
    <xf numFmtId="166" fontId="19" fillId="26" borderId="18" xfId="0" applyNumberFormat="1" applyFont="1" applyFill="1" applyBorder="1" applyAlignment="1">
      <alignment horizontal="left" vertical="center" wrapText="1"/>
    </xf>
    <xf numFmtId="164" fontId="28" fillId="22" borderId="20" xfId="0" applyNumberFormat="1" applyFont="1" applyFill="1" applyBorder="1" applyAlignment="1">
      <alignment horizontal="center" vertical="center" wrapText="1"/>
    </xf>
    <xf numFmtId="164" fontId="28" fillId="22" borderId="54" xfId="0" applyNumberFormat="1" applyFont="1" applyFill="1" applyBorder="1" applyAlignment="1">
      <alignment horizontal="center" vertical="center" wrapText="1"/>
    </xf>
    <xf numFmtId="164" fontId="28" fillId="22" borderId="55" xfId="0" applyNumberFormat="1" applyFont="1" applyFill="1" applyBorder="1" applyAlignment="1">
      <alignment horizontal="center" vertical="center" wrapText="1"/>
    </xf>
    <xf numFmtId="0" fontId="19" fillId="25" borderId="29" xfId="0" applyFont="1" applyFill="1" applyBorder="1" applyAlignment="1">
      <alignment horizontal="center" vertical="center" wrapText="1"/>
    </xf>
    <xf numFmtId="0" fontId="19" fillId="25" borderId="53" xfId="0" applyFont="1" applyFill="1" applyBorder="1" applyAlignment="1">
      <alignment horizontal="center" vertical="center" wrapText="1"/>
    </xf>
    <xf numFmtId="167" fontId="21" fillId="22" borderId="29" xfId="0" applyNumberFormat="1" applyFont="1" applyFill="1" applyBorder="1" applyAlignment="1">
      <alignment horizontal="center" vertical="center" wrapText="1"/>
    </xf>
    <xf numFmtId="167" fontId="21" fillId="22" borderId="56" xfId="0" applyNumberFormat="1" applyFont="1" applyFill="1" applyBorder="1" applyAlignment="1">
      <alignment horizontal="center" vertical="center" wrapText="1"/>
    </xf>
    <xf numFmtId="167" fontId="21" fillId="22" borderId="57" xfId="0" applyNumberFormat="1" applyFont="1" applyFill="1" applyBorder="1" applyAlignment="1">
      <alignment horizontal="center" vertical="center" wrapText="1"/>
    </xf>
    <xf numFmtId="0" fontId="19" fillId="24" borderId="29" xfId="0" applyFont="1" applyFill="1" applyBorder="1" applyAlignment="1">
      <alignment horizontal="center" vertical="center" wrapText="1"/>
    </xf>
    <xf numFmtId="0" fontId="19" fillId="24" borderId="53" xfId="0" applyFont="1" applyFill="1" applyBorder="1" applyAlignment="1">
      <alignment horizontal="center" vertical="center" wrapText="1"/>
    </xf>
    <xf numFmtId="167" fontId="19" fillId="26" borderId="29" xfId="0" applyNumberFormat="1" applyFont="1" applyFill="1" applyBorder="1" applyAlignment="1">
      <alignment horizontal="center" vertical="center" wrapText="1"/>
    </xf>
    <xf numFmtId="167" fontId="19" fillId="26" borderId="56" xfId="0" applyNumberFormat="1" applyFont="1" applyFill="1" applyBorder="1" applyAlignment="1">
      <alignment horizontal="center" vertical="center" wrapText="1"/>
    </xf>
    <xf numFmtId="167" fontId="19" fillId="26" borderId="57" xfId="0" applyNumberFormat="1" applyFont="1" applyFill="1" applyBorder="1" applyAlignment="1">
      <alignment horizontal="center" vertical="center" wrapText="1"/>
    </xf>
    <xf numFmtId="169" fontId="23" fillId="25" borderId="58" xfId="0" applyNumberFormat="1" applyFont="1" applyFill="1" applyBorder="1" applyAlignment="1">
      <alignment horizontal="center" vertical="center" wrapText="1"/>
    </xf>
    <xf numFmtId="169" fontId="23" fillId="25" borderId="59" xfId="0" applyNumberFormat="1" applyFont="1" applyFill="1" applyBorder="1" applyAlignment="1">
      <alignment horizontal="center" vertical="center" wrapText="1"/>
    </xf>
    <xf numFmtId="169" fontId="23" fillId="25" borderId="30" xfId="0" applyNumberFormat="1" applyFont="1" applyFill="1" applyBorder="1" applyAlignment="1">
      <alignment horizontal="center" vertical="center" wrapText="1"/>
    </xf>
    <xf numFmtId="169" fontId="23" fillId="25" borderId="60" xfId="0" applyNumberFormat="1" applyFont="1" applyFill="1" applyBorder="1" applyAlignment="1">
      <alignment horizontal="center" vertical="center" wrapText="1"/>
    </xf>
    <xf numFmtId="169" fontId="23" fillId="25" borderId="61" xfId="0" applyNumberFormat="1" applyFont="1" applyFill="1" applyBorder="1" applyAlignment="1">
      <alignment horizontal="center" vertical="center" wrapText="1"/>
    </xf>
    <xf numFmtId="167" fontId="31" fillId="22" borderId="16" xfId="0" applyNumberFormat="1" applyFont="1" applyFill="1" applyBorder="1" applyAlignment="1">
      <alignment horizontal="center" vertical="center" wrapText="1"/>
    </xf>
    <xf numFmtId="167" fontId="31" fillId="22" borderId="0" xfId="0" applyNumberFormat="1" applyFont="1" applyFill="1" applyBorder="1" applyAlignment="1">
      <alignment horizontal="center" vertical="center" wrapText="1"/>
    </xf>
    <xf numFmtId="167" fontId="31" fillId="22" borderId="24" xfId="0" applyNumberFormat="1" applyFont="1" applyFill="1" applyBorder="1" applyAlignment="1">
      <alignment horizontal="center" vertical="center" wrapText="1"/>
    </xf>
    <xf numFmtId="169" fontId="23" fillId="24" borderId="30" xfId="0" applyNumberFormat="1" applyFont="1" applyFill="1" applyBorder="1" applyAlignment="1">
      <alignment horizontal="center" vertical="center" wrapText="1"/>
    </xf>
    <xf numFmtId="169" fontId="23" fillId="24" borderId="62" xfId="0" applyNumberFormat="1" applyFont="1" applyFill="1" applyBorder="1" applyAlignment="1">
      <alignment horizontal="center" vertical="center" wrapText="1"/>
    </xf>
    <xf numFmtId="169" fontId="23" fillId="24" borderId="60" xfId="0" applyNumberFormat="1" applyFont="1" applyFill="1" applyBorder="1" applyAlignment="1">
      <alignment horizontal="center" vertical="center" wrapText="1"/>
    </xf>
    <xf numFmtId="169" fontId="23" fillId="24" borderId="61" xfId="0" applyNumberFormat="1" applyFont="1" applyFill="1" applyBorder="1" applyAlignment="1">
      <alignment horizontal="center" vertical="center" wrapText="1"/>
    </xf>
    <xf numFmtId="0" fontId="19" fillId="30" borderId="29" xfId="0" applyFont="1" applyFill="1" applyBorder="1" applyAlignment="1">
      <alignment horizontal="center" vertical="center" wrapText="1"/>
    </xf>
    <xf numFmtId="0" fontId="19" fillId="30" borderId="53" xfId="0" applyFont="1" applyFill="1" applyBorder="1" applyAlignment="1">
      <alignment horizontal="center" vertical="center" wrapText="1"/>
    </xf>
    <xf numFmtId="172" fontId="19" fillId="24" borderId="15" xfId="0" applyNumberFormat="1" applyFont="1" applyFill="1" applyBorder="1" applyAlignment="1">
      <alignment horizontal="center" vertical="center" wrapText="1"/>
    </xf>
    <xf numFmtId="172" fontId="19" fillId="24" borderId="18" xfId="0" applyNumberFormat="1" applyFont="1" applyFill="1" applyBorder="1" applyAlignment="1">
      <alignment horizontal="center" vertical="center" wrapText="1"/>
    </xf>
    <xf numFmtId="166" fontId="37" fillId="26" borderId="15" xfId="0" applyNumberFormat="1" applyFont="1" applyFill="1" applyBorder="1" applyAlignment="1">
      <alignment horizontal="center" vertical="center" wrapText="1"/>
    </xf>
    <xf numFmtId="166" fontId="37" fillId="26" borderId="19" xfId="0" applyNumberFormat="1" applyFont="1" applyFill="1" applyBorder="1" applyAlignment="1">
      <alignment horizontal="center" vertical="center" wrapText="1"/>
    </xf>
    <xf numFmtId="166" fontId="37" fillId="26" borderId="25" xfId="0" applyNumberFormat="1" applyFont="1" applyFill="1" applyBorder="1" applyAlignment="1">
      <alignment horizontal="center" vertical="center" wrapText="1"/>
    </xf>
    <xf numFmtId="167" fontId="19" fillId="22" borderId="29" xfId="0" applyNumberFormat="1" applyFont="1" applyFill="1" applyBorder="1" applyAlignment="1">
      <alignment horizontal="center" vertical="center" wrapText="1"/>
    </xf>
    <xf numFmtId="167" fontId="19" fillId="22" borderId="56" xfId="0" applyNumberFormat="1" applyFont="1" applyFill="1" applyBorder="1" applyAlignment="1">
      <alignment horizontal="center" vertical="center" wrapText="1"/>
    </xf>
    <xf numFmtId="167" fontId="19" fillId="22" borderId="57" xfId="0" applyNumberFormat="1" applyFont="1" applyFill="1" applyBorder="1" applyAlignment="1">
      <alignment horizontal="center" vertical="center" wrapText="1"/>
    </xf>
    <xf numFmtId="0" fontId="19" fillId="31" borderId="29" xfId="0" applyFont="1" applyFill="1" applyBorder="1" applyAlignment="1">
      <alignment horizontal="center" vertical="center" wrapText="1"/>
    </xf>
    <xf numFmtId="0" fontId="19" fillId="31" borderId="53" xfId="0" applyFont="1" applyFill="1" applyBorder="1" applyAlignment="1">
      <alignment horizontal="center" vertical="center" wrapText="1"/>
    </xf>
    <xf numFmtId="169" fontId="23" fillId="25" borderId="62" xfId="0" applyNumberFormat="1" applyFont="1" applyFill="1" applyBorder="1" applyAlignment="1">
      <alignment horizontal="center" vertical="center" wrapText="1"/>
    </xf>
    <xf numFmtId="0" fontId="5" fillId="13" borderId="33" xfId="0" applyFont="1" applyFill="1" applyBorder="1" applyAlignment="1">
      <alignment horizontal="center" vertical="center" wrapText="1"/>
    </xf>
    <xf numFmtId="0" fontId="5" fillId="13" borderId="63" xfId="0" applyFont="1" applyFill="1" applyBorder="1" applyAlignment="1">
      <alignment horizontal="center" vertical="center" wrapText="1"/>
    </xf>
    <xf numFmtId="0" fontId="5" fillId="13" borderId="64" xfId="0" applyFont="1" applyFill="1" applyBorder="1" applyAlignment="1">
      <alignment horizontal="center" vertical="center" wrapText="1"/>
    </xf>
    <xf numFmtId="169" fontId="23" fillId="24" borderId="69" xfId="0" applyNumberFormat="1" applyFont="1" applyFill="1" applyBorder="1" applyAlignment="1">
      <alignment horizontal="center" vertical="center" wrapText="1"/>
    </xf>
    <xf numFmtId="169" fontId="23" fillId="24" borderId="70" xfId="0" applyNumberFormat="1" applyFont="1" applyFill="1" applyBorder="1" applyAlignment="1">
      <alignment horizontal="center" vertical="center" wrapText="1"/>
    </xf>
    <xf numFmtId="167" fontId="41" fillId="22" borderId="16" xfId="0" applyNumberFormat="1" applyFont="1" applyFill="1" applyBorder="1" applyAlignment="1">
      <alignment horizontal="center" vertical="center" wrapText="1"/>
    </xf>
    <xf numFmtId="167" fontId="41" fillId="22" borderId="0" xfId="0" applyNumberFormat="1" applyFont="1" applyFill="1" applyBorder="1" applyAlignment="1">
      <alignment horizontal="center" vertical="center" wrapText="1"/>
    </xf>
    <xf numFmtId="167" fontId="41" fillId="22" borderId="24" xfId="0" applyNumberFormat="1" applyFont="1" applyFill="1" applyBorder="1" applyAlignment="1">
      <alignment horizontal="center" vertical="center" wrapText="1"/>
    </xf>
    <xf numFmtId="166" fontId="42" fillId="22" borderId="15" xfId="0" applyNumberFormat="1" applyFont="1" applyFill="1" applyBorder="1" applyAlignment="1">
      <alignment horizontal="center" vertical="center" wrapText="1"/>
    </xf>
    <xf numFmtId="166" fontId="42" fillId="22" borderId="19" xfId="0" applyNumberFormat="1" applyFont="1" applyFill="1" applyBorder="1" applyAlignment="1">
      <alignment horizontal="center" vertical="center" wrapText="1"/>
    </xf>
    <xf numFmtId="166" fontId="42" fillId="22" borderId="25" xfId="0" applyNumberFormat="1" applyFont="1" applyFill="1" applyBorder="1" applyAlignment="1">
      <alignment horizontal="center" vertical="center" wrapText="1"/>
    </xf>
    <xf numFmtId="1" fontId="31" fillId="25" borderId="65" xfId="0" applyNumberFormat="1" applyFont="1" applyFill="1" applyBorder="1" applyAlignment="1">
      <alignment horizontal="center" vertical="center" wrapText="1"/>
    </xf>
    <xf numFmtId="1" fontId="31" fillId="25" borderId="49" xfId="0" applyNumberFormat="1" applyFont="1" applyFill="1" applyBorder="1" applyAlignment="1">
      <alignment horizontal="center" vertical="center" wrapText="1"/>
    </xf>
    <xf numFmtId="1" fontId="31" fillId="25" borderId="66" xfId="0" applyNumberFormat="1" applyFont="1" applyFill="1" applyBorder="1" applyAlignment="1">
      <alignment horizontal="center" vertical="center" wrapText="1"/>
    </xf>
    <xf numFmtId="1" fontId="31" fillId="24" borderId="65" xfId="0" applyNumberFormat="1" applyFont="1" applyFill="1" applyBorder="1" applyAlignment="1">
      <alignment horizontal="center" vertical="center" wrapText="1"/>
    </xf>
    <xf numFmtId="1" fontId="31" fillId="24" borderId="49" xfId="0" applyNumberFormat="1" applyFont="1" applyFill="1" applyBorder="1" applyAlignment="1">
      <alignment horizontal="center" vertical="center" wrapText="1"/>
    </xf>
    <xf numFmtId="1" fontId="31" fillId="24" borderId="66" xfId="0" applyNumberFormat="1" applyFont="1" applyFill="1" applyBorder="1" applyAlignment="1">
      <alignment horizontal="center" vertical="center" wrapText="1"/>
    </xf>
    <xf numFmtId="1" fontId="31" fillId="24" borderId="39" xfId="0" applyNumberFormat="1" applyFont="1" applyFill="1" applyBorder="1" applyAlignment="1">
      <alignment horizontal="center" vertical="center" wrapText="1"/>
    </xf>
    <xf numFmtId="169" fontId="23" fillId="24" borderId="72" xfId="0" applyNumberFormat="1" applyFont="1" applyFill="1" applyBorder="1" applyAlignment="1">
      <alignment horizontal="center" vertical="center" wrapText="1"/>
    </xf>
    <xf numFmtId="169" fontId="23" fillId="24" borderId="73" xfId="0" applyNumberFormat="1" applyFont="1" applyFill="1" applyBorder="1" applyAlignment="1">
      <alignment horizontal="center" vertical="center" wrapText="1"/>
    </xf>
    <xf numFmtId="49" fontId="31" fillId="25" borderId="65" xfId="0" applyNumberFormat="1" applyFont="1" applyFill="1" applyBorder="1" applyAlignment="1">
      <alignment horizontal="center" vertical="center" wrapText="1"/>
    </xf>
    <xf numFmtId="49" fontId="31" fillId="25" borderId="49" xfId="0" applyNumberFormat="1" applyFont="1" applyFill="1" applyBorder="1" applyAlignment="1">
      <alignment horizontal="center" vertical="center" wrapText="1"/>
    </xf>
    <xf numFmtId="49" fontId="31" fillId="25" borderId="40" xfId="0" applyNumberFormat="1"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297549591599"/>
          <c:y val="5.1565470270542473E-2"/>
          <c:w val="0.68728121353558946"/>
          <c:h val="0.71639171197289364"/>
        </c:manualLayout>
      </c:layout>
      <c:scatterChart>
        <c:scatterStyle val="lineMarker"/>
        <c:varyColors val="0"/>
        <c:ser>
          <c:idx val="0"/>
          <c:order val="0"/>
          <c:tx>
            <c:v>Set 1</c:v>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0.26654220147802404"/>
                  <c:y val="-0.24986640650723782"/>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Sheet3!$A$2:$A$7</c:f>
              <c:numCache>
                <c:formatCode>General</c:formatCode>
                <c:ptCount val="6"/>
                <c:pt idx="0">
                  <c:v>0.5</c:v>
                </c:pt>
                <c:pt idx="1">
                  <c:v>1</c:v>
                </c:pt>
                <c:pt idx="2">
                  <c:v>3.1</c:v>
                </c:pt>
                <c:pt idx="3">
                  <c:v>6.2</c:v>
                </c:pt>
                <c:pt idx="4">
                  <c:v>13.1</c:v>
                </c:pt>
                <c:pt idx="5">
                  <c:v>26.2</c:v>
                </c:pt>
              </c:numCache>
            </c:numRef>
          </c:xVal>
          <c:yVal>
            <c:numRef>
              <c:f>Sheet3!$C$2:$C$7</c:f>
              <c:numCache>
                <c:formatCode>0.0</c:formatCode>
                <c:ptCount val="6"/>
                <c:pt idx="0">
                  <c:v>2.4</c:v>
                </c:pt>
                <c:pt idx="1">
                  <c:v>4.8499999999999996</c:v>
                </c:pt>
                <c:pt idx="2">
                  <c:v>16.666666666666668</c:v>
                </c:pt>
                <c:pt idx="3">
                  <c:v>34.666666666666664</c:v>
                </c:pt>
                <c:pt idx="4">
                  <c:v>76.233333333333334</c:v>
                </c:pt>
                <c:pt idx="5">
                  <c:v>160</c:v>
                </c:pt>
              </c:numCache>
            </c:numRef>
          </c:yVal>
          <c:smooth val="0"/>
          <c:extLst>
            <c:ext xmlns:c16="http://schemas.microsoft.com/office/drawing/2014/chart" uri="{C3380CC4-5D6E-409C-BE32-E72D297353CC}">
              <c16:uniqueId val="{00000001-989D-4773-802E-1103F050C0F0}"/>
            </c:ext>
          </c:extLst>
        </c:ser>
        <c:ser>
          <c:idx val="1"/>
          <c:order val="1"/>
          <c:tx>
            <c:v>Set 2</c:v>
          </c:tx>
          <c:spPr>
            <a:ln w="28575">
              <a:noFill/>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wer"/>
            <c:dispRSqr val="1"/>
            <c:dispEq val="1"/>
            <c:trendlineLbl>
              <c:layout>
                <c:manualLayout>
                  <c:x val="0.25615707604810761"/>
                  <c:y val="-9.5693466112898667E-2"/>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Sheet3!$A$10:$A$15</c:f>
              <c:numCache>
                <c:formatCode>General</c:formatCode>
                <c:ptCount val="6"/>
                <c:pt idx="0">
                  <c:v>0.5</c:v>
                </c:pt>
                <c:pt idx="1">
                  <c:v>1</c:v>
                </c:pt>
                <c:pt idx="2">
                  <c:v>3.1</c:v>
                </c:pt>
                <c:pt idx="3">
                  <c:v>6.2</c:v>
                </c:pt>
                <c:pt idx="4">
                  <c:v>13.1</c:v>
                </c:pt>
                <c:pt idx="5">
                  <c:v>26.2</c:v>
                </c:pt>
              </c:numCache>
            </c:numRef>
          </c:xVal>
          <c:yVal>
            <c:numRef>
              <c:f>Sheet3!$C$10:$C$15</c:f>
              <c:numCache>
                <c:formatCode>0.0</c:formatCode>
                <c:ptCount val="6"/>
                <c:pt idx="0">
                  <c:v>2.6166666666666667</c:v>
                </c:pt>
                <c:pt idx="1">
                  <c:v>5.3166666666666664</c:v>
                </c:pt>
                <c:pt idx="2">
                  <c:v>18.866666666666667</c:v>
                </c:pt>
                <c:pt idx="3">
                  <c:v>37.916666666666664</c:v>
                </c:pt>
                <c:pt idx="4">
                  <c:v>83.416666666666671</c:v>
                </c:pt>
                <c:pt idx="5">
                  <c:v>175</c:v>
                </c:pt>
              </c:numCache>
            </c:numRef>
          </c:yVal>
          <c:smooth val="0"/>
          <c:extLst>
            <c:ext xmlns:c16="http://schemas.microsoft.com/office/drawing/2014/chart" uri="{C3380CC4-5D6E-409C-BE32-E72D297353CC}">
              <c16:uniqueId val="{00000003-989D-4773-802E-1103F050C0F0}"/>
            </c:ext>
          </c:extLst>
        </c:ser>
        <c:ser>
          <c:idx val="2"/>
          <c:order val="2"/>
          <c:tx>
            <c:v>Set 3</c:v>
          </c:tx>
          <c:spPr>
            <a:ln w="28575">
              <a:noFill/>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wer"/>
            <c:dispRSqr val="1"/>
            <c:dispEq val="1"/>
            <c:trendlineLbl>
              <c:layout>
                <c:manualLayout>
                  <c:x val="0.26778673085934285"/>
                  <c:y val="7.8675837014393721E-2"/>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Sheet3!$A$18:$A$23</c:f>
              <c:numCache>
                <c:formatCode>General</c:formatCode>
                <c:ptCount val="6"/>
                <c:pt idx="0">
                  <c:v>0.5</c:v>
                </c:pt>
                <c:pt idx="1">
                  <c:v>1</c:v>
                </c:pt>
                <c:pt idx="2">
                  <c:v>3.1</c:v>
                </c:pt>
                <c:pt idx="3">
                  <c:v>6.2</c:v>
                </c:pt>
                <c:pt idx="4">
                  <c:v>13.1</c:v>
                </c:pt>
                <c:pt idx="5">
                  <c:v>26.2</c:v>
                </c:pt>
              </c:numCache>
            </c:numRef>
          </c:xVal>
          <c:yVal>
            <c:numRef>
              <c:f>Sheet3!$C$18:$C$23</c:f>
              <c:numCache>
                <c:formatCode>0.0</c:formatCode>
                <c:ptCount val="6"/>
                <c:pt idx="0">
                  <c:v>2.9333333333333336</c:v>
                </c:pt>
                <c:pt idx="1">
                  <c:v>5.9333333333333336</c:v>
                </c:pt>
                <c:pt idx="2">
                  <c:v>20.316666666666666</c:v>
                </c:pt>
                <c:pt idx="3">
                  <c:v>42.266666666666666</c:v>
                </c:pt>
                <c:pt idx="4">
                  <c:v>93.016666666666666</c:v>
                </c:pt>
                <c:pt idx="5">
                  <c:v>195</c:v>
                </c:pt>
              </c:numCache>
            </c:numRef>
          </c:yVal>
          <c:smooth val="0"/>
          <c:extLst>
            <c:ext xmlns:c16="http://schemas.microsoft.com/office/drawing/2014/chart" uri="{C3380CC4-5D6E-409C-BE32-E72D297353CC}">
              <c16:uniqueId val="{00000005-989D-4773-802E-1103F050C0F0}"/>
            </c:ext>
          </c:extLst>
        </c:ser>
        <c:ser>
          <c:idx val="3"/>
          <c:order val="3"/>
          <c:tx>
            <c:v>Set 4</c:v>
          </c:tx>
          <c:spPr>
            <a:ln w="28575">
              <a:noFill/>
            </a:ln>
          </c:spPr>
          <c:marker>
            <c:symbol val="x"/>
            <c:size val="5"/>
            <c:spPr>
              <a:noFill/>
              <a:ln>
                <a:solidFill>
                  <a:srgbClr val="00FFFF"/>
                </a:solidFill>
                <a:prstDash val="solid"/>
              </a:ln>
            </c:spPr>
          </c:marker>
          <c:trendline>
            <c:spPr>
              <a:ln w="25400">
                <a:solidFill>
                  <a:srgbClr val="000000"/>
                </a:solidFill>
                <a:prstDash val="solid"/>
              </a:ln>
            </c:spPr>
            <c:trendlineType val="power"/>
            <c:dispRSqr val="1"/>
            <c:dispEq val="1"/>
            <c:trendlineLbl>
              <c:layout>
                <c:manualLayout>
                  <c:x val="0.26654220147802404"/>
                  <c:y val="0.21424654248888761"/>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Sheet3!$A$26:$A$31</c:f>
              <c:numCache>
                <c:formatCode>General</c:formatCode>
                <c:ptCount val="6"/>
                <c:pt idx="0">
                  <c:v>0.5</c:v>
                </c:pt>
                <c:pt idx="1">
                  <c:v>1</c:v>
                </c:pt>
                <c:pt idx="2">
                  <c:v>3.1</c:v>
                </c:pt>
                <c:pt idx="3">
                  <c:v>6.2</c:v>
                </c:pt>
                <c:pt idx="4">
                  <c:v>13.1</c:v>
                </c:pt>
                <c:pt idx="5">
                  <c:v>26.2</c:v>
                </c:pt>
              </c:numCache>
            </c:numRef>
          </c:xVal>
          <c:yVal>
            <c:numRef>
              <c:f>Sheet3!$C$26:$C$31</c:f>
              <c:numCache>
                <c:formatCode>0.0</c:formatCode>
                <c:ptCount val="6"/>
                <c:pt idx="0">
                  <c:v>3.15</c:v>
                </c:pt>
                <c:pt idx="1">
                  <c:v>6.4</c:v>
                </c:pt>
                <c:pt idx="2">
                  <c:v>21.9</c:v>
                </c:pt>
                <c:pt idx="3">
                  <c:v>45.55</c:v>
                </c:pt>
                <c:pt idx="4">
                  <c:v>100.21666666666667</c:v>
                </c:pt>
                <c:pt idx="5">
                  <c:v>210</c:v>
                </c:pt>
              </c:numCache>
            </c:numRef>
          </c:yVal>
          <c:smooth val="0"/>
          <c:extLst>
            <c:ext xmlns:c16="http://schemas.microsoft.com/office/drawing/2014/chart" uri="{C3380CC4-5D6E-409C-BE32-E72D297353CC}">
              <c16:uniqueId val="{00000007-989D-4773-802E-1103F050C0F0}"/>
            </c:ext>
          </c:extLst>
        </c:ser>
        <c:ser>
          <c:idx val="4"/>
          <c:order val="4"/>
          <c:tx>
            <c:v>Set 5</c:v>
          </c:tx>
          <c:spPr>
            <a:ln w="28575">
              <a:noFill/>
            </a:ln>
          </c:spPr>
          <c:marker>
            <c:symbol val="star"/>
            <c:size val="5"/>
            <c:spPr>
              <a:noFill/>
              <a:ln>
                <a:solidFill>
                  <a:srgbClr val="800080"/>
                </a:solidFill>
                <a:prstDash val="solid"/>
              </a:ln>
            </c:spPr>
          </c:marker>
          <c:trendline>
            <c:spPr>
              <a:ln w="25400">
                <a:solidFill>
                  <a:srgbClr val="000000"/>
                </a:solidFill>
                <a:prstDash val="solid"/>
              </a:ln>
            </c:spPr>
            <c:trendlineType val="power"/>
            <c:dispRSqr val="1"/>
            <c:dispEq val="1"/>
            <c:trendlineLbl>
              <c:layout>
                <c:manualLayout>
                  <c:x val="0.26654220147802404"/>
                  <c:y val="0.37077944756825176"/>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Sheet3!$A$34:$A$39</c:f>
              <c:numCache>
                <c:formatCode>General</c:formatCode>
                <c:ptCount val="6"/>
                <c:pt idx="0">
                  <c:v>0.5</c:v>
                </c:pt>
                <c:pt idx="1">
                  <c:v>1</c:v>
                </c:pt>
                <c:pt idx="2">
                  <c:v>3.1</c:v>
                </c:pt>
                <c:pt idx="3">
                  <c:v>6.2</c:v>
                </c:pt>
                <c:pt idx="4">
                  <c:v>13.1</c:v>
                </c:pt>
                <c:pt idx="5">
                  <c:v>26.2</c:v>
                </c:pt>
              </c:numCache>
            </c:numRef>
          </c:xVal>
          <c:yVal>
            <c:numRef>
              <c:f>Sheet3!$C$34:$C$39</c:f>
              <c:numCache>
                <c:formatCode>0.0</c:formatCode>
                <c:ptCount val="6"/>
                <c:pt idx="0">
                  <c:v>3.4666666666666668</c:v>
                </c:pt>
                <c:pt idx="1">
                  <c:v>7.0166666666666666</c:v>
                </c:pt>
                <c:pt idx="2">
                  <c:v>24</c:v>
                </c:pt>
                <c:pt idx="3">
                  <c:v>49.916666666666664</c:v>
                </c:pt>
                <c:pt idx="4">
                  <c:v>109.85</c:v>
                </c:pt>
                <c:pt idx="5">
                  <c:v>230</c:v>
                </c:pt>
              </c:numCache>
            </c:numRef>
          </c:yVal>
          <c:smooth val="0"/>
          <c:extLst>
            <c:ext xmlns:c16="http://schemas.microsoft.com/office/drawing/2014/chart" uri="{C3380CC4-5D6E-409C-BE32-E72D297353CC}">
              <c16:uniqueId val="{00000009-989D-4773-802E-1103F050C0F0}"/>
            </c:ext>
          </c:extLst>
        </c:ser>
        <c:dLbls>
          <c:showLegendKey val="0"/>
          <c:showVal val="0"/>
          <c:showCatName val="0"/>
          <c:showSerName val="0"/>
          <c:showPercent val="0"/>
          <c:showBubbleSize val="0"/>
        </c:dLbls>
        <c:axId val="225253768"/>
        <c:axId val="225254160"/>
      </c:scatterChart>
      <c:valAx>
        <c:axId val="225253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Distance (miles)</a:t>
                </a:r>
              </a:p>
            </c:rich>
          </c:tx>
          <c:layout>
            <c:manualLayout>
              <c:xMode val="edge"/>
              <c:yMode val="edge"/>
              <c:x val="0.38739789964994165"/>
              <c:y val="0.834255690414388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5254160"/>
        <c:crosses val="autoZero"/>
        <c:crossBetween val="midCat"/>
      </c:valAx>
      <c:valAx>
        <c:axId val="22525416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Time (mins)</a:t>
                </a:r>
              </a:p>
            </c:rich>
          </c:tx>
          <c:layout>
            <c:manualLayout>
              <c:xMode val="edge"/>
              <c:yMode val="edge"/>
              <c:x val="1.8669778296382729E-2"/>
              <c:y val="0.3222841896144197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5253768"/>
        <c:crosses val="autoZero"/>
        <c:crossBetween val="midCat"/>
      </c:valAx>
      <c:spPr>
        <a:solidFill>
          <a:srgbClr val="C0C0C0"/>
        </a:solidFill>
        <a:ln w="12700">
          <a:solidFill>
            <a:srgbClr val="808080"/>
          </a:solidFill>
          <a:prstDash val="solid"/>
        </a:ln>
      </c:spPr>
    </c:plotArea>
    <c:legend>
      <c:legendPos val="r"/>
      <c:layout>
        <c:manualLayout>
          <c:xMode val="edge"/>
          <c:yMode val="edge"/>
          <c:x val="0.11201866977829639"/>
          <c:y val="0.8931860036832413"/>
          <c:w val="0.77829638273045509"/>
          <c:h val="9.576427255985267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A Value Formulation</a:t>
            </a:r>
          </a:p>
        </c:rich>
      </c:tx>
      <c:layout>
        <c:manualLayout>
          <c:xMode val="edge"/>
          <c:yMode val="edge"/>
          <c:x val="0.41500610782386083"/>
          <c:y val="2.8957528957528959E-2"/>
        </c:manualLayout>
      </c:layout>
      <c:overlay val="0"/>
      <c:spPr>
        <a:noFill/>
        <a:ln w="25400">
          <a:noFill/>
        </a:ln>
      </c:spPr>
    </c:title>
    <c:autoTitleDeleted val="0"/>
    <c:plotArea>
      <c:layout>
        <c:manualLayout>
          <c:layoutTarget val="inner"/>
          <c:xMode val="edge"/>
          <c:yMode val="edge"/>
          <c:x val="8.2063352954275012E-2"/>
          <c:y val="0.1428571428571429"/>
          <c:w val="0.67760882867958516"/>
          <c:h val="0.70270270270270263"/>
        </c:manualLayout>
      </c:layout>
      <c:scatterChart>
        <c:scatterStyle val="lineMarker"/>
        <c:varyColors val="0"/>
        <c:ser>
          <c:idx val="0"/>
          <c:order val="0"/>
          <c:tx>
            <c:v>A Formula</c:v>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28656512271552037"/>
                  <c:y val="-0.14115992257724538"/>
                </c:manualLayout>
              </c:layout>
              <c:tx>
                <c:rich>
                  <a:bodyPr/>
                  <a:lstStyle/>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A = 0.0312 * TIME - 0.0317</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R</a:t>
                    </a:r>
                    <a:r>
                      <a:rPr lang="en-US" sz="1200" b="0" i="0" u="none" strike="noStrike" baseline="30000">
                        <a:solidFill>
                          <a:srgbClr val="000000"/>
                        </a:solidFill>
                        <a:latin typeface="Arial"/>
                        <a:cs typeface="Arial"/>
                      </a:rPr>
                      <a:t>2</a:t>
                    </a:r>
                    <a:r>
                      <a:rPr lang="en-US" sz="1200" b="0" i="0" u="none" strike="noStrike" baseline="0">
                        <a:solidFill>
                          <a:srgbClr val="000000"/>
                        </a:solidFill>
                        <a:latin typeface="Arial"/>
                        <a:cs typeface="Arial"/>
                      </a:rPr>
                      <a:t> = 0.9998</a:t>
                    </a:r>
                  </a:p>
                </c:rich>
              </c:tx>
              <c:numFmt formatCode="General" sourceLinked="0"/>
              <c:spPr>
                <a:noFill/>
                <a:ln w="25400">
                  <a:noFill/>
                </a:ln>
              </c:spPr>
            </c:trendlineLbl>
          </c:trendline>
          <c:xVal>
            <c:numRef>
              <c:f>Sheet3!$G$2:$G$6</c:f>
              <c:numCache>
                <c:formatCode>0</c:formatCode>
                <c:ptCount val="5"/>
                <c:pt idx="0">
                  <c:v>160</c:v>
                </c:pt>
                <c:pt idx="1">
                  <c:v>175</c:v>
                </c:pt>
                <c:pt idx="2">
                  <c:v>195</c:v>
                </c:pt>
                <c:pt idx="3">
                  <c:v>210</c:v>
                </c:pt>
                <c:pt idx="4">
                  <c:v>230</c:v>
                </c:pt>
              </c:numCache>
            </c:numRef>
          </c:xVal>
          <c:yVal>
            <c:numRef>
              <c:f>Sheet3!$H$2:$H$6</c:f>
              <c:numCache>
                <c:formatCode>General</c:formatCode>
                <c:ptCount val="5"/>
                <c:pt idx="0">
                  <c:v>4.9564000000000004</c:v>
                </c:pt>
                <c:pt idx="1">
                  <c:v>5.4539999999999997</c:v>
                </c:pt>
                <c:pt idx="2">
                  <c:v>6.0556999999999999</c:v>
                </c:pt>
                <c:pt idx="3">
                  <c:v>6.5191999999999997</c:v>
                </c:pt>
                <c:pt idx="4">
                  <c:v>7.1578999999999997</c:v>
                </c:pt>
              </c:numCache>
            </c:numRef>
          </c:yVal>
          <c:smooth val="0"/>
          <c:extLst>
            <c:ext xmlns:c16="http://schemas.microsoft.com/office/drawing/2014/chart" uri="{C3380CC4-5D6E-409C-BE32-E72D297353CC}">
              <c16:uniqueId val="{00000001-2117-4A0A-BB08-5C362ED936F9}"/>
            </c:ext>
          </c:extLst>
        </c:ser>
        <c:dLbls>
          <c:showLegendKey val="0"/>
          <c:showVal val="0"/>
          <c:showCatName val="0"/>
          <c:showSerName val="0"/>
          <c:showPercent val="0"/>
          <c:showBubbleSize val="0"/>
        </c:dLbls>
        <c:axId val="225252984"/>
        <c:axId val="225254552"/>
      </c:scatterChart>
      <c:valAx>
        <c:axId val="2252529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Time (min)</a:t>
                </a:r>
              </a:p>
            </c:rich>
          </c:tx>
          <c:layout>
            <c:manualLayout>
              <c:xMode val="edge"/>
              <c:yMode val="edge"/>
              <c:x val="0.37162978894930043"/>
              <c:y val="0.915057915057915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5254552"/>
        <c:crosses val="autoZero"/>
        <c:crossBetween val="midCat"/>
      </c:valAx>
      <c:valAx>
        <c:axId val="22525455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 Value</a:t>
                </a:r>
              </a:p>
            </c:rich>
          </c:tx>
          <c:layout>
            <c:manualLayout>
              <c:xMode val="edge"/>
              <c:yMode val="edge"/>
              <c:x val="1.8757327080890972E-2"/>
              <c:y val="0.432432432432432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5252984"/>
        <c:crosses val="autoZero"/>
        <c:crossBetween val="midCat"/>
      </c:valAx>
      <c:spPr>
        <a:solidFill>
          <a:srgbClr val="C0C0C0"/>
        </a:solidFill>
        <a:ln w="12700">
          <a:solidFill>
            <a:srgbClr val="808080"/>
          </a:solidFill>
          <a:prstDash val="solid"/>
        </a:ln>
      </c:spPr>
    </c:plotArea>
    <c:legend>
      <c:legendPos val="r"/>
      <c:layout>
        <c:manualLayout>
          <c:xMode val="edge"/>
          <c:yMode val="edge"/>
          <c:x val="0.79132473622508792"/>
          <c:y val="0.44787644787644787"/>
          <c:w val="0.20046893317702227"/>
          <c:h val="9.4594594594594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B Value Formulation</a:t>
            </a:r>
          </a:p>
        </c:rich>
      </c:tx>
      <c:layout>
        <c:manualLayout>
          <c:xMode val="edge"/>
          <c:yMode val="edge"/>
          <c:x val="0.41451990632318503"/>
          <c:y val="2.8901734104046242E-2"/>
        </c:manualLayout>
      </c:layout>
      <c:overlay val="0"/>
      <c:spPr>
        <a:noFill/>
        <a:ln w="25400">
          <a:noFill/>
        </a:ln>
      </c:spPr>
    </c:title>
    <c:autoTitleDeleted val="0"/>
    <c:plotArea>
      <c:layout>
        <c:manualLayout>
          <c:layoutTarget val="inner"/>
          <c:xMode val="edge"/>
          <c:yMode val="edge"/>
          <c:x val="0.12880562060889927"/>
          <c:y val="0.14258215653253806"/>
          <c:w val="0.6311475409836067"/>
          <c:h val="0.70327685316724842"/>
        </c:manualLayout>
      </c:layout>
      <c:scatterChart>
        <c:scatterStyle val="lineMarker"/>
        <c:varyColors val="0"/>
        <c:ser>
          <c:idx val="0"/>
          <c:order val="0"/>
          <c:tx>
            <c:v>B Formula</c:v>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28084309133489471"/>
                  <c:y val="-0.67288714617350154"/>
                </c:manualLayout>
              </c:layout>
              <c:numFmt formatCode="0.00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trendlineLbl>
          </c:trendline>
          <c:xVal>
            <c:numRef>
              <c:f>Sheet3!$G$2:$G$6</c:f>
              <c:numCache>
                <c:formatCode>0</c:formatCode>
                <c:ptCount val="5"/>
                <c:pt idx="0">
                  <c:v>160</c:v>
                </c:pt>
                <c:pt idx="1">
                  <c:v>175</c:v>
                </c:pt>
                <c:pt idx="2">
                  <c:v>195</c:v>
                </c:pt>
                <c:pt idx="3">
                  <c:v>210</c:v>
                </c:pt>
                <c:pt idx="4">
                  <c:v>230</c:v>
                </c:pt>
              </c:numCache>
            </c:numRef>
          </c:xVal>
          <c:yVal>
            <c:numRef>
              <c:f>Sheet3!$I$2:$I$6</c:f>
              <c:numCache>
                <c:formatCode>General</c:formatCode>
                <c:ptCount val="5"/>
                <c:pt idx="0">
                  <c:v>1.0639000000000001</c:v>
                </c:pt>
                <c:pt idx="1">
                  <c:v>1.0636000000000001</c:v>
                </c:pt>
                <c:pt idx="2">
                  <c:v>1.0629999999999999</c:v>
                </c:pt>
                <c:pt idx="3">
                  <c:v>1.0633999999999999</c:v>
                </c:pt>
                <c:pt idx="4">
                  <c:v>1.0625</c:v>
                </c:pt>
              </c:numCache>
            </c:numRef>
          </c:yVal>
          <c:smooth val="0"/>
          <c:extLst>
            <c:ext xmlns:c16="http://schemas.microsoft.com/office/drawing/2014/chart" uri="{C3380CC4-5D6E-409C-BE32-E72D297353CC}">
              <c16:uniqueId val="{00000001-E51D-4920-952D-367A7FE79C68}"/>
            </c:ext>
          </c:extLst>
        </c:ser>
        <c:dLbls>
          <c:showLegendKey val="0"/>
          <c:showVal val="0"/>
          <c:showCatName val="0"/>
          <c:showSerName val="0"/>
          <c:showPercent val="0"/>
          <c:showBubbleSize val="0"/>
        </c:dLbls>
        <c:axId val="225255336"/>
        <c:axId val="226226992"/>
      </c:scatterChart>
      <c:valAx>
        <c:axId val="2252553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Time (min)</a:t>
                </a:r>
              </a:p>
            </c:rich>
          </c:tx>
          <c:layout>
            <c:manualLayout>
              <c:xMode val="edge"/>
              <c:yMode val="edge"/>
              <c:x val="0.3946135831381733"/>
              <c:y val="0.915223400543140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6226992"/>
        <c:crosses val="autoZero"/>
        <c:crossBetween val="midCat"/>
      </c:valAx>
      <c:valAx>
        <c:axId val="22622699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B Value</a:t>
                </a:r>
              </a:p>
            </c:rich>
          </c:tx>
          <c:layout>
            <c:manualLayout>
              <c:xMode val="edge"/>
              <c:yMode val="edge"/>
              <c:x val="1.873536299765808E-2"/>
              <c:y val="0.43160003843450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5255336"/>
        <c:crosses val="autoZero"/>
        <c:crossBetween val="midCat"/>
      </c:valAx>
      <c:spPr>
        <a:solidFill>
          <a:srgbClr val="C0C0C0"/>
        </a:solidFill>
        <a:ln w="12700">
          <a:solidFill>
            <a:srgbClr val="808080"/>
          </a:solidFill>
          <a:prstDash val="solid"/>
        </a:ln>
      </c:spPr>
    </c:plotArea>
    <c:legend>
      <c:legendPos val="r"/>
      <c:layout>
        <c:manualLayout>
          <c:xMode val="edge"/>
          <c:yMode val="edge"/>
          <c:x val="0.79156908665105385"/>
          <c:y val="0.44701348747591524"/>
          <c:w val="0.20023419203747073"/>
          <c:h val="9.441233140655105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421341</xdr:colOff>
      <xdr:row>0</xdr:row>
      <xdr:rowOff>35635</xdr:rowOff>
    </xdr:from>
    <xdr:to>
      <xdr:col>5</xdr:col>
      <xdr:colOff>730176</xdr:colOff>
      <xdr:row>3</xdr:row>
      <xdr:rowOff>166744</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srcRect/>
        <a:stretch>
          <a:fillRect/>
        </a:stretch>
      </xdr:blipFill>
      <xdr:spPr bwMode="auto">
        <a:xfrm>
          <a:off x="5979459" y="35635"/>
          <a:ext cx="1859729" cy="668991"/>
        </a:xfrm>
        <a:prstGeom prst="rect">
          <a:avLst/>
        </a:prstGeom>
        <a:noFill/>
        <a:ln w="9525">
          <a:noFill/>
          <a:miter lim="800000"/>
          <a:headEnd/>
          <a:tailEnd/>
        </a:ln>
      </xdr:spPr>
    </xdr:pic>
    <xdr:clientData/>
  </xdr:twoCellAnchor>
  <xdr:twoCellAnchor editAs="oneCell">
    <xdr:from>
      <xdr:col>0</xdr:col>
      <xdr:colOff>236220</xdr:colOff>
      <xdr:row>1</xdr:row>
      <xdr:rowOff>0</xdr:rowOff>
    </xdr:from>
    <xdr:to>
      <xdr:col>1</xdr:col>
      <xdr:colOff>480060</xdr:colOff>
      <xdr:row>3</xdr:row>
      <xdr:rowOff>8499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a:srcRect r="41444"/>
        <a:stretch/>
      </xdr:blipFill>
      <xdr:spPr>
        <a:xfrm>
          <a:off x="236220" y="182880"/>
          <a:ext cx="1798320" cy="3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6</xdr:row>
      <xdr:rowOff>142875</xdr:rowOff>
    </xdr:from>
    <xdr:to>
      <xdr:col>16</xdr:col>
      <xdr:colOff>447675</xdr:colOff>
      <xdr:row>33</xdr:row>
      <xdr:rowOff>171450</xdr:rowOff>
    </xdr:to>
    <xdr:graphicFrame macro="">
      <xdr:nvGraphicFramePr>
        <xdr:cNvPr id="2049" name="Chart 1">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36</xdr:row>
      <xdr:rowOff>9525</xdr:rowOff>
    </xdr:from>
    <xdr:to>
      <xdr:col>16</xdr:col>
      <xdr:colOff>447675</xdr:colOff>
      <xdr:row>61</xdr:row>
      <xdr:rowOff>180975</xdr:rowOff>
    </xdr:to>
    <xdr:graphicFrame macro="">
      <xdr:nvGraphicFramePr>
        <xdr:cNvPr id="2050" name="Chart 2">
          <a:extLst>
            <a:ext uri="{FF2B5EF4-FFF2-40B4-BE49-F238E27FC236}">
              <a16:creationId xmlns:a16="http://schemas.microsoft.com/office/drawing/2014/main" id="{00000000-0008-0000-03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63</xdr:row>
      <xdr:rowOff>0</xdr:rowOff>
    </xdr:from>
    <xdr:to>
      <xdr:col>16</xdr:col>
      <xdr:colOff>209550</xdr:colOff>
      <xdr:row>88</xdr:row>
      <xdr:rowOff>180975</xdr:rowOff>
    </xdr:to>
    <xdr:graphicFrame macro="">
      <xdr:nvGraphicFramePr>
        <xdr:cNvPr id="2051" name="Chart 3">
          <a:extLst>
            <a:ext uri="{FF2B5EF4-FFF2-40B4-BE49-F238E27FC236}">
              <a16:creationId xmlns:a16="http://schemas.microsoft.com/office/drawing/2014/main" id="{00000000-0008-0000-03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n.wikipedia.org/wiki/Vo2_max" TargetMode="External"/><Relationship Id="rId1" Type="http://schemas.openxmlformats.org/officeDocument/2006/relationships/hyperlink" Target="http://en.wikipedia.org/wiki/File:Exercise_zones.p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13"/>
  <sheetViews>
    <sheetView tabSelected="1" zoomScale="85" zoomScaleNormal="85" workbookViewId="0">
      <selection activeCell="D36" sqref="D36"/>
    </sheetView>
  </sheetViews>
  <sheetFormatPr defaultColWidth="9.140625" defaultRowHeight="15" x14ac:dyDescent="0.25"/>
  <cols>
    <col min="1" max="2" width="22.7109375" style="3" customWidth="1"/>
    <col min="3" max="3" width="20.7109375" style="3" bestFit="1" customWidth="1"/>
    <col min="4" max="4" width="15.140625" style="3" bestFit="1" customWidth="1"/>
    <col min="5" max="5" width="22.7109375" style="3" customWidth="1"/>
    <col min="6" max="6" width="18.5703125" style="3" customWidth="1"/>
    <col min="7" max="7" width="11" style="3" bestFit="1" customWidth="1"/>
    <col min="8" max="8" width="22.7109375" style="3" customWidth="1"/>
    <col min="9" max="9" width="12.5703125" style="126" hidden="1" customWidth="1"/>
    <col min="10" max="10" width="11.85546875" style="126" hidden="1" customWidth="1"/>
    <col min="11" max="11" width="21.42578125" style="3" customWidth="1"/>
    <col min="12" max="12" width="14.42578125" style="2" hidden="1" customWidth="1"/>
    <col min="13" max="13" width="11" style="2" customWidth="1"/>
    <col min="14" max="14" width="16.42578125" style="68" bestFit="1" customWidth="1"/>
    <col min="15" max="56" width="8.85546875" customWidth="1"/>
    <col min="57" max="16384" width="9.140625" style="1"/>
  </cols>
  <sheetData>
    <row r="1" spans="1:56" x14ac:dyDescent="0.25">
      <c r="A1" s="224"/>
      <c r="B1" s="224"/>
      <c r="C1" s="224"/>
      <c r="D1" s="224"/>
      <c r="E1" s="224"/>
      <c r="F1" s="224"/>
      <c r="G1" s="224"/>
      <c r="H1" s="224"/>
      <c r="I1" s="225"/>
      <c r="J1" s="225"/>
      <c r="K1" s="224"/>
      <c r="L1" s="226"/>
      <c r="M1" s="226"/>
      <c r="N1" s="227"/>
    </row>
    <row r="2" spans="1:56" x14ac:dyDescent="0.25">
      <c r="A2" s="224"/>
      <c r="B2" s="224"/>
      <c r="C2" s="224"/>
      <c r="D2" s="224"/>
      <c r="E2" s="224"/>
      <c r="F2" s="224"/>
      <c r="G2" s="224"/>
      <c r="H2" s="224"/>
      <c r="I2" s="225"/>
      <c r="J2" s="225"/>
      <c r="K2" s="224"/>
      <c r="L2" s="226"/>
      <c r="M2" s="226"/>
      <c r="N2" s="227"/>
    </row>
    <row r="3" spans="1:56" x14ac:dyDescent="0.25">
      <c r="A3" s="224"/>
      <c r="B3" s="224"/>
      <c r="C3" s="224"/>
      <c r="D3" s="224"/>
      <c r="E3" s="224"/>
      <c r="F3" s="224"/>
      <c r="G3" s="224"/>
      <c r="H3" s="224"/>
      <c r="I3" s="225"/>
      <c r="J3" s="225"/>
      <c r="K3" s="224"/>
      <c r="L3" s="226"/>
      <c r="M3" s="226"/>
      <c r="N3" s="227"/>
    </row>
    <row r="4" spans="1:56" x14ac:dyDescent="0.25">
      <c r="A4" s="224"/>
      <c r="B4" s="224"/>
      <c r="C4" s="224"/>
      <c r="D4" s="224"/>
      <c r="E4" s="224"/>
      <c r="F4" s="224"/>
      <c r="G4" s="224"/>
      <c r="H4" s="224"/>
      <c r="I4" s="225"/>
      <c r="J4" s="225"/>
      <c r="K4" s="224"/>
      <c r="L4" s="226"/>
      <c r="M4" s="226"/>
      <c r="N4" s="227"/>
    </row>
    <row r="5" spans="1:56" ht="15.75" thickBot="1" x14ac:dyDescent="0.3"/>
    <row r="6" spans="1:56" s="47" customFormat="1" ht="16.5" thickBot="1" x14ac:dyDescent="0.3">
      <c r="A6" s="62">
        <v>0.1173611111111111</v>
      </c>
      <c r="B6" s="48" t="s">
        <v>54</v>
      </c>
      <c r="C6" s="49"/>
      <c r="D6" s="49"/>
      <c r="E6" s="49"/>
      <c r="F6" s="49"/>
      <c r="G6" s="49"/>
      <c r="H6" s="107"/>
      <c r="I6" s="125"/>
      <c r="J6" s="125"/>
      <c r="K6" s="102"/>
      <c r="L6" s="50"/>
      <c r="M6" s="50"/>
      <c r="N6" s="49"/>
      <c r="O6"/>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1:56" s="47" customFormat="1" ht="16.5" thickBot="1" x14ac:dyDescent="0.3">
      <c r="A7" s="112">
        <v>1</v>
      </c>
      <c r="B7" s="48" t="s">
        <v>90</v>
      </c>
      <c r="C7" s="49"/>
      <c r="D7" s="49"/>
      <c r="E7" s="49"/>
      <c r="F7" s="49"/>
      <c r="G7" s="49"/>
      <c r="H7" s="107"/>
      <c r="I7" s="125"/>
      <c r="J7" s="125"/>
      <c r="K7" s="102"/>
      <c r="L7" s="50"/>
      <c r="M7" s="50"/>
      <c r="N7" s="49"/>
      <c r="O7"/>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row>
    <row r="8" spans="1:56" s="47" customFormat="1" ht="15.75" x14ac:dyDescent="0.25">
      <c r="A8" s="73">
        <f>LOOKUP("T-LF",'Pace Chart'!$E$24:$F$38)</f>
        <v>5.2662037037037035E-3</v>
      </c>
      <c r="B8" s="70" t="s">
        <v>75</v>
      </c>
      <c r="C8" s="49"/>
      <c r="D8" s="49"/>
      <c r="E8" s="49"/>
      <c r="F8" s="49"/>
      <c r="G8" s="49"/>
      <c r="H8" s="49"/>
      <c r="I8" s="125"/>
      <c r="J8" s="125"/>
      <c r="K8" s="49"/>
      <c r="L8" s="52"/>
      <c r="M8" s="52"/>
      <c r="N8" s="49"/>
      <c r="O8"/>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row>
    <row r="9" spans="1:56" x14ac:dyDescent="0.25">
      <c r="L9" s="6"/>
      <c r="M9" s="6"/>
    </row>
    <row r="10" spans="1:56" s="4" customFormat="1" x14ac:dyDescent="0.25">
      <c r="A10" s="136" t="s">
        <v>1</v>
      </c>
      <c r="B10" s="137" t="s">
        <v>2</v>
      </c>
      <c r="C10" s="271" t="s">
        <v>96</v>
      </c>
      <c r="D10" s="273"/>
      <c r="E10" s="137" t="s">
        <v>3</v>
      </c>
      <c r="F10" s="271" t="s">
        <v>97</v>
      </c>
      <c r="G10" s="273"/>
      <c r="H10" s="138" t="s">
        <v>4</v>
      </c>
      <c r="I10" s="139"/>
      <c r="J10" s="139"/>
      <c r="K10" s="271" t="s">
        <v>0</v>
      </c>
      <c r="L10" s="272"/>
      <c r="M10" s="272"/>
      <c r="N10" s="140" t="s">
        <v>59</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row>
    <row r="11" spans="1:56" s="5" customFormat="1" ht="15.75" customHeight="1" x14ac:dyDescent="0.25">
      <c r="A11" s="144">
        <f>B11-1</f>
        <v>43857</v>
      </c>
      <c r="B11" s="23">
        <f>C11-1</f>
        <v>43858</v>
      </c>
      <c r="C11" s="254">
        <f>E11-1</f>
        <v>43859</v>
      </c>
      <c r="D11" s="255"/>
      <c r="E11" s="23">
        <f>F11-1</f>
        <v>43860</v>
      </c>
      <c r="F11" s="254">
        <f>H11-1</f>
        <v>43861</v>
      </c>
      <c r="G11" s="255"/>
      <c r="H11" s="23">
        <f>K11-1</f>
        <v>43862</v>
      </c>
      <c r="I11" s="129"/>
      <c r="J11" s="129"/>
      <c r="K11" s="254">
        <f>A18-1</f>
        <v>43863</v>
      </c>
      <c r="L11" s="256"/>
      <c r="M11" s="257"/>
      <c r="N11" s="285">
        <f>(34-54)*(-$A$7)+34</f>
        <v>54</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ht="15" customHeight="1" x14ac:dyDescent="0.25">
      <c r="A12" s="145" t="s">
        <v>111</v>
      </c>
      <c r="B12" s="11" t="s">
        <v>112</v>
      </c>
      <c r="C12" s="258" t="s">
        <v>125</v>
      </c>
      <c r="D12" s="259"/>
      <c r="E12" s="11" t="s">
        <v>112</v>
      </c>
      <c r="F12" s="241" t="s">
        <v>106</v>
      </c>
      <c r="G12" s="242"/>
      <c r="H12" s="11" t="s">
        <v>112</v>
      </c>
      <c r="I12" s="115"/>
      <c r="J12" s="115"/>
      <c r="K12" s="243" t="s">
        <v>80</v>
      </c>
      <c r="L12" s="244"/>
      <c r="M12" s="245"/>
      <c r="N12" s="286"/>
    </row>
    <row r="13" spans="1:56" ht="15" customHeight="1" x14ac:dyDescent="0.25">
      <c r="A13" s="146" t="s">
        <v>121</v>
      </c>
      <c r="B13" s="211">
        <f>LOOKUP("T-Lf",'Pace Chart'!$E$24:$F$38)</f>
        <v>5.2662037037037035E-3</v>
      </c>
      <c r="C13" s="217" t="s">
        <v>149</v>
      </c>
      <c r="D13" s="218">
        <f>LOOKUP("R-mar",'Pace Chart'!$E$24:$F$38)</f>
        <v>4.4791666666666669E-3</v>
      </c>
      <c r="E13" s="211">
        <f>LOOKUP("T-Lf",'Pace Chart'!$E$24:$F$38)</f>
        <v>5.2662037037037035E-3</v>
      </c>
      <c r="F13" s="81" t="s">
        <v>110</v>
      </c>
      <c r="G13" s="91">
        <f>LOOKUP("T-LS",'Pace Chart'!$E$24:$F$38)</f>
        <v>5.4513888888888884E-3</v>
      </c>
      <c r="H13" s="211">
        <f>LOOKUP("T-Lf",'Pace Chart'!$E$24:$F$38)</f>
        <v>5.2662037037037035E-3</v>
      </c>
      <c r="I13" s="116">
        <v>11</v>
      </c>
      <c r="J13" s="116">
        <v>17</v>
      </c>
      <c r="K13" s="81">
        <f>I13+(J13-I13)*Distance_Pct</f>
        <v>17</v>
      </c>
      <c r="L13" s="85"/>
      <c r="M13" s="86">
        <f>LOOKUP("T-LS",'Pace Chart'!$E$24:$F$38)</f>
        <v>5.4513888888888884E-3</v>
      </c>
      <c r="N13" s="286"/>
    </row>
    <row r="14" spans="1:56" ht="15" customHeight="1" x14ac:dyDescent="0.25">
      <c r="A14" s="146"/>
      <c r="B14" s="18"/>
      <c r="C14" s="219" t="s">
        <v>79</v>
      </c>
      <c r="D14" s="218" t="s">
        <v>124</v>
      </c>
      <c r="E14" s="18"/>
      <c r="F14" s="81" t="s">
        <v>126</v>
      </c>
      <c r="G14" s="91">
        <f>LOOKUP("R-Mar",'Pace Chart'!$E$24:$F$38)</f>
        <v>4.4791666666666669E-3</v>
      </c>
      <c r="H14" s="18" t="s">
        <v>113</v>
      </c>
      <c r="I14" s="117"/>
      <c r="J14" s="117"/>
      <c r="K14" s="38"/>
      <c r="L14" s="39"/>
      <c r="M14" s="64"/>
      <c r="N14" s="286"/>
    </row>
    <row r="15" spans="1:56" ht="15" customHeight="1" x14ac:dyDescent="0.25">
      <c r="A15" s="146"/>
      <c r="B15" s="18"/>
      <c r="C15" s="99"/>
      <c r="D15" s="91"/>
      <c r="E15" s="18"/>
      <c r="F15" s="81" t="s">
        <v>129</v>
      </c>
      <c r="G15" s="91">
        <f>LOOKUP("t-ls",'Pace Chart'!$E$24:$F$38)</f>
        <v>5.4513888888888884E-3</v>
      </c>
      <c r="H15" s="18"/>
      <c r="I15" s="117"/>
      <c r="J15" s="117"/>
      <c r="K15" s="38"/>
      <c r="L15" s="39"/>
      <c r="M15" s="64"/>
      <c r="N15" s="286"/>
    </row>
    <row r="16" spans="1:56" ht="15" customHeight="1" x14ac:dyDescent="0.25">
      <c r="A16" s="146"/>
      <c r="B16" s="18"/>
      <c r="C16" s="99"/>
      <c r="D16" s="91"/>
      <c r="E16" s="18"/>
      <c r="F16" s="81"/>
      <c r="G16" s="91"/>
      <c r="H16" s="18"/>
      <c r="I16" s="117"/>
      <c r="J16" s="117"/>
      <c r="K16" s="38"/>
      <c r="L16" s="39"/>
      <c r="M16" s="64"/>
      <c r="N16" s="286"/>
    </row>
    <row r="17" spans="1:56" ht="15.75" x14ac:dyDescent="0.25">
      <c r="A17" s="147"/>
      <c r="B17" s="20"/>
      <c r="C17" s="45"/>
      <c r="D17" s="46"/>
      <c r="E17" s="25"/>
      <c r="F17" s="103"/>
      <c r="G17" s="104"/>
      <c r="H17" s="25"/>
      <c r="I17" s="118"/>
      <c r="J17" s="118"/>
      <c r="K17" s="40"/>
      <c r="L17" s="41"/>
      <c r="M17" s="65"/>
      <c r="N17" s="287"/>
    </row>
    <row r="18" spans="1:56" x14ac:dyDescent="0.25">
      <c r="A18" s="148">
        <f>B18-1</f>
        <v>43864</v>
      </c>
      <c r="B18" s="24">
        <f>C18-1</f>
        <v>43865</v>
      </c>
      <c r="C18" s="246">
        <f>E18-1</f>
        <v>43866</v>
      </c>
      <c r="D18" s="247"/>
      <c r="E18" s="24">
        <f>F18-1</f>
        <v>43867</v>
      </c>
      <c r="F18" s="246">
        <f>H18-1</f>
        <v>43868</v>
      </c>
      <c r="G18" s="247"/>
      <c r="H18" s="29">
        <f>K18-1</f>
        <v>43869</v>
      </c>
      <c r="I18" s="127"/>
      <c r="J18" s="127"/>
      <c r="K18" s="248">
        <f>A23-1</f>
        <v>43870</v>
      </c>
      <c r="L18" s="249"/>
      <c r="M18" s="250"/>
      <c r="N18" s="282">
        <f>(50-70)*(-$A$7)+50</f>
        <v>70</v>
      </c>
    </row>
    <row r="19" spans="1:56" s="5" customFormat="1" ht="15" customHeight="1" x14ac:dyDescent="0.25">
      <c r="A19" s="141" t="s">
        <v>111</v>
      </c>
      <c r="B19" s="12" t="s">
        <v>112</v>
      </c>
      <c r="C19" s="268" t="s">
        <v>150</v>
      </c>
      <c r="D19" s="269"/>
      <c r="E19" s="12" t="s">
        <v>112</v>
      </c>
      <c r="F19" s="268" t="s">
        <v>106</v>
      </c>
      <c r="G19" s="269"/>
      <c r="H19" s="12" t="s">
        <v>112</v>
      </c>
      <c r="I19" s="114"/>
      <c r="J19" s="114"/>
      <c r="K19" s="265" t="s">
        <v>92</v>
      </c>
      <c r="L19" s="266"/>
      <c r="M19" s="267"/>
      <c r="N19" s="283"/>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row>
    <row r="20" spans="1:56" s="5" customFormat="1" ht="15" customHeight="1" x14ac:dyDescent="0.25">
      <c r="A20" s="142" t="s">
        <v>121</v>
      </c>
      <c r="B20" s="210">
        <f>LOOKUP("T-Lf",'Pace Chart'!$E$24:$F$38)</f>
        <v>5.2662037037037035E-3</v>
      </c>
      <c r="C20" s="109" t="s">
        <v>127</v>
      </c>
      <c r="D20" s="215">
        <f>LOOKUP("R-Half",'Pace Chart'!$E$24:$F$38)</f>
        <v>4.31712962962963E-3</v>
      </c>
      <c r="E20" s="210">
        <f>LOOKUP("T-Lf",'Pace Chart'!$E$24:$F$38)</f>
        <v>5.2662037037037035E-3</v>
      </c>
      <c r="F20" s="214" t="s">
        <v>110</v>
      </c>
      <c r="G20" s="215">
        <f>LOOKUP("t-ls",'Pace Chart'!$E$24:$F$38)</f>
        <v>5.4513888888888884E-3</v>
      </c>
      <c r="H20" s="210">
        <f>LOOKUP("T-Lf",'Pace Chart'!$E$24:$F$38)</f>
        <v>5.2662037037037035E-3</v>
      </c>
      <c r="I20" s="121">
        <v>12</v>
      </c>
      <c r="J20" s="121">
        <v>19</v>
      </c>
      <c r="K20" s="89">
        <f>I20+(J20-I20)*Distance_Pct - 8</f>
        <v>11</v>
      </c>
      <c r="L20" s="34"/>
      <c r="M20" s="66">
        <f>LOOKUP("T-LS",'Pace Chart'!$E$24:$F$38)</f>
        <v>5.4513888888888884E-3</v>
      </c>
      <c r="N20" s="283"/>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s="5" customFormat="1" ht="15" customHeight="1" x14ac:dyDescent="0.25">
      <c r="A21" s="142"/>
      <c r="B21" s="13"/>
      <c r="C21" s="216" t="s">
        <v>115</v>
      </c>
      <c r="D21" s="215" t="s">
        <v>124</v>
      </c>
      <c r="E21" s="13"/>
      <c r="F21" s="216" t="s">
        <v>148</v>
      </c>
      <c r="G21" s="215">
        <f>LOOKUP("R-Mar",'Pace Chart'!$E$24:$F$38)</f>
        <v>4.4791666666666669E-3</v>
      </c>
      <c r="H21" s="13" t="s">
        <v>113</v>
      </c>
      <c r="I21" s="121"/>
      <c r="J21" s="121"/>
      <c r="K21" s="113" t="s">
        <v>138</v>
      </c>
      <c r="L21" s="34"/>
      <c r="M21" s="66">
        <f>LOOKUP("R-Mar",'Pace Chart'!$E$24:$F$38)</f>
        <v>4.4791666666666669E-3</v>
      </c>
      <c r="N21" s="283"/>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s="5" customFormat="1" ht="15.75" customHeight="1" x14ac:dyDescent="0.25">
      <c r="A22" s="143"/>
      <c r="B22" s="21"/>
      <c r="C22" s="96"/>
      <c r="D22" s="97"/>
      <c r="E22" s="21"/>
      <c r="F22" s="105" t="s">
        <v>129</v>
      </c>
      <c r="G22" s="106">
        <f>LOOKUP("t-ls",'Pace Chart'!$E$24:$F$38)</f>
        <v>5.4513888888888884E-3</v>
      </c>
      <c r="H22" s="87"/>
      <c r="I22" s="128"/>
      <c r="J22" s="128"/>
      <c r="K22" s="36" t="s">
        <v>137</v>
      </c>
      <c r="L22" s="37"/>
      <c r="M22" s="67" t="s">
        <v>124</v>
      </c>
      <c r="N22" s="284"/>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56" s="5" customFormat="1" ht="15.75" customHeight="1" x14ac:dyDescent="0.25">
      <c r="A23" s="144">
        <f>B23-1</f>
        <v>43871</v>
      </c>
      <c r="B23" s="23">
        <f>C23-1</f>
        <v>43872</v>
      </c>
      <c r="C23" s="254">
        <f>E23-1</f>
        <v>43873</v>
      </c>
      <c r="D23" s="255"/>
      <c r="E23" s="23">
        <f>F23-1</f>
        <v>43874</v>
      </c>
      <c r="F23" s="254">
        <f>H23-1</f>
        <v>43875</v>
      </c>
      <c r="G23" s="255"/>
      <c r="H23" s="23">
        <f>K23-1</f>
        <v>43876</v>
      </c>
      <c r="I23" s="129"/>
      <c r="J23" s="129"/>
      <c r="K23" s="254">
        <f>A28-1</f>
        <v>43877</v>
      </c>
      <c r="L23" s="256"/>
      <c r="M23" s="257"/>
      <c r="N23" s="285">
        <f>(50-70)*(-$A$7)+50</f>
        <v>70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ht="15" customHeight="1" x14ac:dyDescent="0.25">
      <c r="A24" s="145" t="s">
        <v>111</v>
      </c>
      <c r="B24" s="11" t="s">
        <v>112</v>
      </c>
      <c r="C24" s="258" t="s">
        <v>118</v>
      </c>
      <c r="D24" s="259"/>
      <c r="E24" s="11" t="s">
        <v>112</v>
      </c>
      <c r="F24" s="241" t="s">
        <v>106</v>
      </c>
      <c r="G24" s="242"/>
      <c r="H24" s="11" t="s">
        <v>112</v>
      </c>
      <c r="I24" s="119"/>
      <c r="J24" s="119"/>
      <c r="K24" s="243" t="s">
        <v>80</v>
      </c>
      <c r="L24" s="244"/>
      <c r="M24" s="245"/>
      <c r="N24" s="286"/>
    </row>
    <row r="25" spans="1:56" ht="15" customHeight="1" x14ac:dyDescent="0.25">
      <c r="A25" s="146" t="s">
        <v>121</v>
      </c>
      <c r="B25" s="211">
        <f>LOOKUP("T-Lf",'Pace Chart'!$E$24:$F$38)</f>
        <v>5.2662037037037035E-3</v>
      </c>
      <c r="C25" s="217" t="s">
        <v>128</v>
      </c>
      <c r="D25" s="218">
        <f>LOOKUP("R-10K",'Pace Chart'!$E$24:$F$38)</f>
        <v>4.108796296296297E-3</v>
      </c>
      <c r="E25" s="211">
        <f>LOOKUP("T-Lf",'Pace Chart'!$E$24:$F$38)</f>
        <v>5.2662037037037035E-3</v>
      </c>
      <c r="F25" s="207" t="s">
        <v>110</v>
      </c>
      <c r="G25" s="88">
        <f>LOOKUP("T-LS",'Pace Chart'!$E$24:$F$38)</f>
        <v>5.4513888888888884E-3</v>
      </c>
      <c r="H25" s="211">
        <f>LOOKUP("T-Lf",'Pace Chart'!$E$24:$F$38)</f>
        <v>5.2662037037037035E-3</v>
      </c>
      <c r="I25" s="120">
        <v>13</v>
      </c>
      <c r="J25" s="120">
        <v>20</v>
      </c>
      <c r="K25" s="81">
        <f>I25+(J25-I25)*Distance_Pct</f>
        <v>20</v>
      </c>
      <c r="L25" s="85"/>
      <c r="M25" s="86">
        <f>LOOKUP("T-LS",'Pace Chart'!$E$24:$F$38)</f>
        <v>5.4513888888888884E-3</v>
      </c>
      <c r="N25" s="286"/>
    </row>
    <row r="26" spans="1:56" ht="15" customHeight="1" x14ac:dyDescent="0.25">
      <c r="A26" s="146"/>
      <c r="B26" s="18"/>
      <c r="C26" s="219" t="s">
        <v>85</v>
      </c>
      <c r="D26" s="220" t="s">
        <v>124</v>
      </c>
      <c r="E26" s="18"/>
      <c r="F26" s="81" t="s">
        <v>126</v>
      </c>
      <c r="G26" s="88">
        <f>LOOKUP("R-Mar",'Pace Chart'!$E$24:$F$38)</f>
        <v>4.4791666666666669E-3</v>
      </c>
      <c r="H26" s="18" t="s">
        <v>113</v>
      </c>
      <c r="I26" s="120"/>
      <c r="J26" s="120"/>
      <c r="K26" s="82"/>
      <c r="L26" s="83"/>
      <c r="M26" s="64"/>
      <c r="N26" s="286"/>
    </row>
    <row r="27" spans="1:56" ht="15.75" x14ac:dyDescent="0.25">
      <c r="A27" s="147"/>
      <c r="B27" s="20"/>
      <c r="C27" s="45"/>
      <c r="D27" s="46"/>
      <c r="E27" s="25"/>
      <c r="F27" s="208" t="s">
        <v>129</v>
      </c>
      <c r="G27" s="104">
        <f>LOOKUP("T-LS",'Pace Chart'!$E$24:$F$38)</f>
        <v>5.4513888888888884E-3</v>
      </c>
      <c r="H27" s="78"/>
      <c r="I27" s="130"/>
      <c r="J27" s="130"/>
      <c r="K27" s="40"/>
      <c r="L27" s="41"/>
      <c r="M27" s="65"/>
      <c r="N27" s="287"/>
    </row>
    <row r="28" spans="1:56" x14ac:dyDescent="0.25">
      <c r="A28" s="148">
        <f>B28-1</f>
        <v>43878</v>
      </c>
      <c r="B28" s="24">
        <f>C28-1</f>
        <v>43879</v>
      </c>
      <c r="C28" s="248">
        <f>E28-1</f>
        <v>43880</v>
      </c>
      <c r="D28" s="270"/>
      <c r="E28" s="24">
        <f>F28-1</f>
        <v>43881</v>
      </c>
      <c r="F28" s="248">
        <f>H28-1</f>
        <v>43882</v>
      </c>
      <c r="G28" s="270"/>
      <c r="H28" s="24">
        <f>K28-1</f>
        <v>43883</v>
      </c>
      <c r="I28" s="131"/>
      <c r="J28" s="131"/>
      <c r="K28" s="248">
        <f>A34-1</f>
        <v>43884</v>
      </c>
      <c r="L28" s="249"/>
      <c r="M28" s="250"/>
      <c r="N28" s="282">
        <f>(39-59)*(-$A$7)+39</f>
        <v>59</v>
      </c>
    </row>
    <row r="29" spans="1:56" s="5" customFormat="1" ht="15" customHeight="1" x14ac:dyDescent="0.25">
      <c r="A29" s="141" t="s">
        <v>111</v>
      </c>
      <c r="B29" s="12" t="s">
        <v>112</v>
      </c>
      <c r="C29" s="236" t="s">
        <v>123</v>
      </c>
      <c r="D29" s="237"/>
      <c r="E29" s="12" t="s">
        <v>112</v>
      </c>
      <c r="F29" s="268" t="s">
        <v>106</v>
      </c>
      <c r="G29" s="269"/>
      <c r="H29" s="12" t="s">
        <v>112</v>
      </c>
      <c r="I29" s="114"/>
      <c r="J29" s="114"/>
      <c r="K29" s="265" t="s">
        <v>80</v>
      </c>
      <c r="L29" s="266"/>
      <c r="M29" s="267"/>
      <c r="N29" s="283"/>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s="5" customFormat="1" ht="15" customHeight="1" x14ac:dyDescent="0.25">
      <c r="A30" s="142" t="s">
        <v>121</v>
      </c>
      <c r="B30" s="210">
        <f>LOOKUP("T-Lf",'Pace Chart'!$E$24:$F$38)</f>
        <v>5.2662037037037035E-3</v>
      </c>
      <c r="C30" s="89" t="s">
        <v>151</v>
      </c>
      <c r="D30" s="93">
        <f>LOOKUP("R-5K",'Pace Chart'!$E$24:$F$38)</f>
        <v>3.9236111111111112E-3</v>
      </c>
      <c r="E30" s="210">
        <f>LOOKUP("T-Lf",'Pace Chart'!$E$24:$F$38)</f>
        <v>5.2662037037037035E-3</v>
      </c>
      <c r="F30" s="212" t="s">
        <v>110</v>
      </c>
      <c r="G30" s="213">
        <f>LOOKUP("T-LS",'Pace Chart'!$E$24:$F$38)</f>
        <v>5.4513888888888884E-3</v>
      </c>
      <c r="H30" s="210">
        <f>LOOKUP("T-Lf",'Pace Chart'!$E$24:$F$38)</f>
        <v>5.2662037037037035E-3</v>
      </c>
      <c r="I30" s="121">
        <v>14</v>
      </c>
      <c r="J30" s="121">
        <v>14</v>
      </c>
      <c r="K30" s="89">
        <f>I30+(J30-I30)*Distance_Pct</f>
        <v>14</v>
      </c>
      <c r="L30" s="122"/>
      <c r="M30" s="123">
        <f>LOOKUP("T-LF",'Pace Chart'!$E$24:$F$38)</f>
        <v>5.2662037037037035E-3</v>
      </c>
      <c r="N30" s="283"/>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s="5" customFormat="1" ht="15" customHeight="1" x14ac:dyDescent="0.25">
      <c r="A31" s="142"/>
      <c r="B31" s="13"/>
      <c r="C31" s="92" t="s">
        <v>152</v>
      </c>
      <c r="D31" s="93" t="s">
        <v>124</v>
      </c>
      <c r="E31" s="13"/>
      <c r="F31" s="221" t="s">
        <v>95</v>
      </c>
      <c r="G31" s="215">
        <f>LOOKUP("R-Half",'Pace Chart'!$E$24:$F$38)</f>
        <v>4.31712962962963E-3</v>
      </c>
      <c r="H31" s="13" t="s">
        <v>113</v>
      </c>
      <c r="I31" s="121"/>
      <c r="J31" s="121"/>
      <c r="K31" s="113"/>
      <c r="L31" s="34"/>
      <c r="M31" s="66"/>
      <c r="N31" s="28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56" s="5" customFormat="1" ht="15" customHeight="1" x14ac:dyDescent="0.25">
      <c r="A32" s="142"/>
      <c r="B32" s="13"/>
      <c r="C32" s="94"/>
      <c r="D32" s="93"/>
      <c r="E32" s="13"/>
      <c r="F32" s="221" t="s">
        <v>85</v>
      </c>
      <c r="G32" s="222" t="s">
        <v>124</v>
      </c>
      <c r="H32" s="32"/>
      <c r="I32" s="121"/>
      <c r="J32" s="121"/>
      <c r="K32" s="276"/>
      <c r="L32" s="277"/>
      <c r="M32" s="278"/>
      <c r="N32" s="283"/>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s="5" customFormat="1" ht="15" customHeight="1" x14ac:dyDescent="0.25">
      <c r="A33" s="142"/>
      <c r="B33" s="13"/>
      <c r="C33" s="94"/>
      <c r="D33" s="93"/>
      <c r="E33" s="13"/>
      <c r="F33" s="223" t="s">
        <v>129</v>
      </c>
      <c r="G33" s="222">
        <f>LOOKUP("T-LS",'Pace Chart'!$E$24:$F$38)</f>
        <v>5.4513888888888884E-3</v>
      </c>
      <c r="H33" s="32"/>
      <c r="I33" s="121"/>
      <c r="J33" s="121"/>
      <c r="K33" s="35"/>
      <c r="L33" s="34"/>
      <c r="M33" s="66"/>
      <c r="N33" s="28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s="5" customFormat="1" ht="15.75" customHeight="1" x14ac:dyDescent="0.25">
      <c r="A34" s="228">
        <f>B34-1</f>
        <v>43885</v>
      </c>
      <c r="B34" s="229">
        <f>C34-1</f>
        <v>43886</v>
      </c>
      <c r="C34" s="274">
        <f>E34-1</f>
        <v>43887</v>
      </c>
      <c r="D34" s="275"/>
      <c r="E34" s="229">
        <f>F34-1</f>
        <v>43888</v>
      </c>
      <c r="F34" s="274">
        <f>H34-1</f>
        <v>43889</v>
      </c>
      <c r="G34" s="275"/>
      <c r="H34" s="229">
        <f>K34-1</f>
        <v>43890</v>
      </c>
      <c r="I34" s="230"/>
      <c r="J34" s="230"/>
      <c r="K34" s="274">
        <f>A39-1</f>
        <v>43891</v>
      </c>
      <c r="L34" s="289"/>
      <c r="M34" s="290"/>
      <c r="N34" s="288">
        <f>(46-76)*(-$A$7)+46</f>
        <v>76</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 customHeight="1" x14ac:dyDescent="0.25">
      <c r="A35" s="145" t="s">
        <v>111</v>
      </c>
      <c r="B35" s="11" t="s">
        <v>112</v>
      </c>
      <c r="C35" s="241" t="s">
        <v>119</v>
      </c>
      <c r="D35" s="242"/>
      <c r="E35" s="11" t="s">
        <v>112</v>
      </c>
      <c r="F35" s="241" t="s">
        <v>106</v>
      </c>
      <c r="G35" s="242"/>
      <c r="H35" s="11" t="s">
        <v>112</v>
      </c>
      <c r="I35" s="119"/>
      <c r="J35" s="119"/>
      <c r="K35" s="243" t="s">
        <v>93</v>
      </c>
      <c r="L35" s="244"/>
      <c r="M35" s="245"/>
      <c r="N35" s="286"/>
    </row>
    <row r="36" spans="1:56" ht="15" customHeight="1" x14ac:dyDescent="0.25">
      <c r="A36" s="146" t="s">
        <v>121</v>
      </c>
      <c r="B36" s="211">
        <f>LOOKUP("T-Lf",'Pace Chart'!$E$24:$F$38)</f>
        <v>5.2662037037037035E-3</v>
      </c>
      <c r="C36" s="98" t="s">
        <v>127</v>
      </c>
      <c r="D36" s="91">
        <f>LOOKUP("R-10K",'Pace Chart'!$E$24:$F$38)</f>
        <v>4.108796296296297E-3</v>
      </c>
      <c r="E36" s="211">
        <f>LOOKUP("T-Lf",'Pace Chart'!$E$24:$F$38)</f>
        <v>5.2662037037037035E-3</v>
      </c>
      <c r="F36" s="207" t="s">
        <v>110</v>
      </c>
      <c r="G36" s="88">
        <f>LOOKUP("T-LS",'Pace Chart'!$E$24:$F$38)</f>
        <v>5.4513888888888884E-3</v>
      </c>
      <c r="H36" s="211">
        <f>LOOKUP("T-Lf",'Pace Chart'!$E$24:$F$38)</f>
        <v>5.2662037037037035E-3</v>
      </c>
      <c r="I36" s="120">
        <v>15</v>
      </c>
      <c r="J36" s="120">
        <v>21</v>
      </c>
      <c r="K36" s="81">
        <f>I36+(J36-I36)*Distance_Pct</f>
        <v>21</v>
      </c>
      <c r="L36" s="85"/>
      <c r="M36" s="86">
        <f>LOOKUP("T-LS",'Pace Chart'!$E$24:$F$38)</f>
        <v>5.4513888888888884E-3</v>
      </c>
      <c r="N36" s="286"/>
    </row>
    <row r="37" spans="1:56" ht="15.75" customHeight="1" x14ac:dyDescent="0.25">
      <c r="A37" s="149"/>
      <c r="B37" s="77"/>
      <c r="C37" s="99" t="s">
        <v>78</v>
      </c>
      <c r="D37" s="91" t="s">
        <v>124</v>
      </c>
      <c r="E37" s="18"/>
      <c r="F37" s="81" t="s">
        <v>133</v>
      </c>
      <c r="G37" s="88">
        <f>LOOKUP("R-Half",'Pace Chart'!$E$24:$F$38)</f>
        <v>4.31712962962963E-3</v>
      </c>
      <c r="H37" s="18" t="s">
        <v>113</v>
      </c>
      <c r="I37" s="120"/>
      <c r="J37" s="120"/>
      <c r="K37" s="82" t="s">
        <v>94</v>
      </c>
      <c r="L37" s="83"/>
      <c r="M37" s="86">
        <f>LOOKUP("R-Mar",'Pace Chart'!$E$24:$F$38)</f>
        <v>4.4791666666666669E-3</v>
      </c>
      <c r="N37" s="286"/>
    </row>
    <row r="38" spans="1:56" ht="15.75" customHeight="1" x14ac:dyDescent="0.25">
      <c r="A38" s="147"/>
      <c r="B38" s="20"/>
      <c r="C38" s="100"/>
      <c r="D38" s="101"/>
      <c r="E38" s="25"/>
      <c r="F38" s="231" t="s">
        <v>108</v>
      </c>
      <c r="G38" s="232">
        <f>LOOKUP("T-LS",'Pace Chart'!$E$24:$F$38)</f>
        <v>5.4513888888888884E-3</v>
      </c>
      <c r="H38" s="78"/>
      <c r="I38" s="130"/>
      <c r="J38" s="130"/>
      <c r="K38" s="40"/>
      <c r="L38" s="41"/>
      <c r="M38" s="65"/>
      <c r="N38" s="287"/>
    </row>
    <row r="39" spans="1:56" x14ac:dyDescent="0.25">
      <c r="A39" s="148">
        <f>B39-1</f>
        <v>43892</v>
      </c>
      <c r="B39" s="24">
        <f>C39-1</f>
        <v>43893</v>
      </c>
      <c r="C39" s="248">
        <f>E39-1</f>
        <v>43894</v>
      </c>
      <c r="D39" s="270"/>
      <c r="E39" s="24">
        <f>F39-1</f>
        <v>43895</v>
      </c>
      <c r="F39" s="246">
        <f>H39-1</f>
        <v>43896</v>
      </c>
      <c r="G39" s="247"/>
      <c r="H39" s="24">
        <f>K39-1</f>
        <v>43897</v>
      </c>
      <c r="I39" s="131"/>
      <c r="J39" s="131"/>
      <c r="K39" s="248">
        <f>A44-1</f>
        <v>43898</v>
      </c>
      <c r="L39" s="249"/>
      <c r="M39" s="250"/>
      <c r="N39" s="282">
        <f>(44-64)*(-$A$7)+44</f>
        <v>64</v>
      </c>
    </row>
    <row r="40" spans="1:56" s="5" customFormat="1" ht="15" customHeight="1" x14ac:dyDescent="0.25">
      <c r="A40" s="141" t="s">
        <v>111</v>
      </c>
      <c r="B40" s="12" t="s">
        <v>112</v>
      </c>
      <c r="C40" s="236" t="s">
        <v>120</v>
      </c>
      <c r="D40" s="237"/>
      <c r="E40" s="12" t="s">
        <v>112</v>
      </c>
      <c r="F40" s="268" t="s">
        <v>106</v>
      </c>
      <c r="G40" s="269"/>
      <c r="H40" s="12" t="s">
        <v>112</v>
      </c>
      <c r="I40" s="114"/>
      <c r="J40" s="114"/>
      <c r="K40" s="265" t="s">
        <v>80</v>
      </c>
      <c r="L40" s="266"/>
      <c r="M40" s="267"/>
      <c r="N40" s="283"/>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s="5" customFormat="1" ht="15" customHeight="1" x14ac:dyDescent="0.25">
      <c r="A41" s="142" t="s">
        <v>121</v>
      </c>
      <c r="B41" s="210">
        <f>LOOKUP("T-Lf",'Pace Chart'!$E$24:$F$38)</f>
        <v>5.2662037037037035E-3</v>
      </c>
      <c r="C41" s="92" t="s">
        <v>128</v>
      </c>
      <c r="D41" s="93">
        <f>LOOKUP("R-10K",'Pace Chart'!$E$24:$F$38)</f>
        <v>4.108796296296297E-3</v>
      </c>
      <c r="E41" s="210">
        <f>LOOKUP("T-Lf",'Pace Chart'!$E$24:$F$38)</f>
        <v>5.2662037037037035E-3</v>
      </c>
      <c r="F41" s="212" t="s">
        <v>110</v>
      </c>
      <c r="G41" s="213">
        <f>LOOKUP("T-LS",'Pace Chart'!$E$24:$F$38)</f>
        <v>5.4513888888888884E-3</v>
      </c>
      <c r="H41" s="210">
        <f>LOOKUP("T-Lf",'Pace Chart'!$E$24:$F$38)</f>
        <v>5.2662037037037035E-3</v>
      </c>
      <c r="I41" s="121">
        <v>16</v>
      </c>
      <c r="J41" s="121">
        <v>18</v>
      </c>
      <c r="K41" s="89">
        <f>I41+(J41-I41)*Distance_Pct</f>
        <v>18</v>
      </c>
      <c r="L41" s="122"/>
      <c r="M41" s="123">
        <f>LOOKUP("T-LS",'Pace Chart'!$E$24:$F$38)</f>
        <v>5.4513888888888884E-3</v>
      </c>
      <c r="N41" s="283"/>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s="5" customFormat="1" ht="15" customHeight="1" x14ac:dyDescent="0.25">
      <c r="A42" s="142"/>
      <c r="B42" s="13"/>
      <c r="C42" s="94" t="s">
        <v>85</v>
      </c>
      <c r="D42" s="95" t="s">
        <v>124</v>
      </c>
      <c r="E42" s="13"/>
      <c r="F42" s="221" t="s">
        <v>132</v>
      </c>
      <c r="G42" s="215">
        <f>LOOKUP("R-Half",'Pace Chart'!$E$24:$F$38)</f>
        <v>4.31712962962963E-3</v>
      </c>
      <c r="H42" s="13" t="s">
        <v>113</v>
      </c>
      <c r="I42" s="121"/>
      <c r="J42" s="121"/>
      <c r="K42" s="35"/>
      <c r="L42" s="34"/>
      <c r="M42" s="66"/>
      <c r="N42" s="283"/>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s="5" customFormat="1" ht="15" customHeight="1" x14ac:dyDescent="0.25">
      <c r="A43" s="150"/>
      <c r="B43" s="30"/>
      <c r="C43" s="96"/>
      <c r="D43" s="97"/>
      <c r="E43" s="30"/>
      <c r="F43" s="105" t="s">
        <v>108</v>
      </c>
      <c r="G43" s="106">
        <f>LOOKUP("T-LS",'Pace Chart'!$E$24:$F$38)</f>
        <v>5.4513888888888884E-3</v>
      </c>
      <c r="H43" s="79"/>
      <c r="I43" s="132"/>
      <c r="J43" s="132"/>
      <c r="K43" s="279"/>
      <c r="L43" s="280"/>
      <c r="M43" s="281"/>
      <c r="N43" s="284"/>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s="5" customFormat="1" ht="15.75" customHeight="1" x14ac:dyDescent="0.25">
      <c r="A44" s="144">
        <f>B44-1</f>
        <v>43899</v>
      </c>
      <c r="B44" s="23">
        <f>C44-1</f>
        <v>43900</v>
      </c>
      <c r="C44" s="254">
        <f>E44-1</f>
        <v>43901</v>
      </c>
      <c r="D44" s="255"/>
      <c r="E44" s="23">
        <f>F44-1</f>
        <v>43902</v>
      </c>
      <c r="F44" s="254">
        <f>H44-1</f>
        <v>43903</v>
      </c>
      <c r="G44" s="255"/>
      <c r="H44" s="23">
        <f>K44-1</f>
        <v>43904</v>
      </c>
      <c r="I44" s="129"/>
      <c r="J44" s="129"/>
      <c r="K44" s="254">
        <f>A50-1</f>
        <v>43905</v>
      </c>
      <c r="L44" s="256"/>
      <c r="M44" s="257"/>
      <c r="N44" s="285">
        <f>(40-60)*(-$A$7)+40</f>
        <v>60</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15" customHeight="1" x14ac:dyDescent="0.25">
      <c r="A45" s="145" t="s">
        <v>111</v>
      </c>
      <c r="B45" s="11" t="s">
        <v>112</v>
      </c>
      <c r="C45" s="241" t="s">
        <v>107</v>
      </c>
      <c r="D45" s="242"/>
      <c r="E45" s="11" t="s">
        <v>112</v>
      </c>
      <c r="F45" s="241" t="s">
        <v>116</v>
      </c>
      <c r="G45" s="242"/>
      <c r="H45" s="11" t="s">
        <v>112</v>
      </c>
      <c r="I45" s="119"/>
      <c r="J45" s="119"/>
      <c r="K45" s="243" t="s">
        <v>92</v>
      </c>
      <c r="L45" s="244"/>
      <c r="M45" s="245"/>
      <c r="N45" s="286"/>
    </row>
    <row r="46" spans="1:56" ht="15" customHeight="1" x14ac:dyDescent="0.25">
      <c r="A46" s="146" t="s">
        <v>121</v>
      </c>
      <c r="B46" s="211">
        <f>LOOKUP("T-Lf",'Pace Chart'!$E$24:$F$38)</f>
        <v>5.2662037037037035E-3</v>
      </c>
      <c r="C46" s="98" t="s">
        <v>127</v>
      </c>
      <c r="D46" s="91">
        <f>LOOKUP("R-10K",'Pace Chart'!$E$24:$F$38)</f>
        <v>4.108796296296297E-3</v>
      </c>
      <c r="E46" s="211">
        <f>LOOKUP("T-Lf",'Pace Chart'!$E$24:$F$38)</f>
        <v>5.2662037037037035E-3</v>
      </c>
      <c r="F46" s="81" t="s">
        <v>110</v>
      </c>
      <c r="G46" s="88">
        <f>LOOKUP("T-LS",'Pace Chart'!$E$24:$F$38)</f>
        <v>5.4513888888888884E-3</v>
      </c>
      <c r="H46" s="211">
        <f>LOOKUP("T-Lf",'Pace Chart'!$E$24:$F$38)</f>
        <v>5.2662037037037035E-3</v>
      </c>
      <c r="I46" s="120">
        <v>12</v>
      </c>
      <c r="J46" s="120">
        <v>15</v>
      </c>
      <c r="K46" s="81">
        <f>I46+(J46-I46)*Distance_Pct - 6</f>
        <v>9</v>
      </c>
      <c r="L46" s="85"/>
      <c r="M46" s="86">
        <f>LOOKUP("T-LS",'Pace Chart'!$E$24:$F$38)</f>
        <v>5.4513888888888884E-3</v>
      </c>
      <c r="N46" s="286"/>
    </row>
    <row r="47" spans="1:56" ht="15" customHeight="1" x14ac:dyDescent="0.25">
      <c r="A47" s="146"/>
      <c r="B47" s="18"/>
      <c r="C47" s="99" t="s">
        <v>115</v>
      </c>
      <c r="D47" s="91" t="s">
        <v>124</v>
      </c>
      <c r="E47" s="18"/>
      <c r="F47" s="81" t="s">
        <v>130</v>
      </c>
      <c r="G47" s="26">
        <f>LOOKUP("R-mar",'Pace Chart'!$E$24:$F$38)</f>
        <v>4.4791666666666669E-3</v>
      </c>
      <c r="H47" s="18" t="s">
        <v>113</v>
      </c>
      <c r="I47" s="120"/>
      <c r="J47" s="120"/>
      <c r="K47" s="124" t="s">
        <v>139</v>
      </c>
      <c r="L47" s="85"/>
      <c r="M47" s="86">
        <f>LOOKUP("R-Mar",'Pace Chart'!$E$24:$F$38)</f>
        <v>4.4791666666666669E-3</v>
      </c>
      <c r="N47" s="286"/>
    </row>
    <row r="48" spans="1:56" ht="15" customHeight="1" x14ac:dyDescent="0.25">
      <c r="A48" s="146"/>
      <c r="B48" s="18"/>
      <c r="C48" s="99"/>
      <c r="D48" s="91"/>
      <c r="E48" s="18"/>
      <c r="F48" s="81">
        <v>2</v>
      </c>
      <c r="G48" s="91">
        <f>LOOKUP("R-half",'Pace Chart'!$E$24:$F$38)</f>
        <v>4.31712962962963E-3</v>
      </c>
      <c r="H48" s="42"/>
      <c r="I48" s="120"/>
      <c r="J48" s="120"/>
      <c r="K48" s="82" t="s">
        <v>91</v>
      </c>
      <c r="L48" s="83"/>
      <c r="M48" s="64" t="s">
        <v>124</v>
      </c>
      <c r="N48" s="286"/>
    </row>
    <row r="49" spans="1:56" ht="15.75" x14ac:dyDescent="0.25">
      <c r="A49" s="147"/>
      <c r="B49" s="20"/>
      <c r="C49" s="27"/>
      <c r="D49" s="44"/>
      <c r="E49" s="25"/>
      <c r="F49" s="81" t="s">
        <v>130</v>
      </c>
      <c r="G49" s="104">
        <f>LOOKUP("r-10k",'Pace Chart'!$E$24:$F$38)</f>
        <v>4.108796296296297E-3</v>
      </c>
      <c r="H49" s="25"/>
      <c r="I49" s="118"/>
      <c r="J49" s="118"/>
      <c r="K49" s="40"/>
      <c r="L49" s="41"/>
      <c r="M49" s="65"/>
      <c r="N49" s="287"/>
    </row>
    <row r="50" spans="1:56" x14ac:dyDescent="0.25">
      <c r="A50" s="148">
        <f>B50-1</f>
        <v>43906</v>
      </c>
      <c r="B50" s="24">
        <f>C50-1</f>
        <v>43907</v>
      </c>
      <c r="C50" s="246">
        <f>E50-1</f>
        <v>43908</v>
      </c>
      <c r="D50" s="247"/>
      <c r="E50" s="24">
        <f>F50-1</f>
        <v>43909</v>
      </c>
      <c r="F50" s="246">
        <f>H50-1</f>
        <v>43910</v>
      </c>
      <c r="G50" s="247"/>
      <c r="H50" s="24">
        <f>K50-1</f>
        <v>43911</v>
      </c>
      <c r="I50" s="131"/>
      <c r="J50" s="131"/>
      <c r="K50" s="248">
        <f>A55-1</f>
        <v>43912</v>
      </c>
      <c r="L50" s="249"/>
      <c r="M50" s="250"/>
      <c r="N50" s="282">
        <f>(51-71)*(-$A$7)+51</f>
        <v>71</v>
      </c>
    </row>
    <row r="51" spans="1:56" s="5" customFormat="1" ht="15" customHeight="1" x14ac:dyDescent="0.25">
      <c r="A51" s="141" t="s">
        <v>111</v>
      </c>
      <c r="B51" s="12" t="s">
        <v>112</v>
      </c>
      <c r="C51" s="268" t="s">
        <v>125</v>
      </c>
      <c r="D51" s="269"/>
      <c r="E51" s="12" t="s">
        <v>112</v>
      </c>
      <c r="F51" s="236" t="s">
        <v>88</v>
      </c>
      <c r="G51" s="237"/>
      <c r="H51" s="12" t="s">
        <v>112</v>
      </c>
      <c r="I51" s="114"/>
      <c r="J51" s="114"/>
      <c r="K51" s="265" t="s">
        <v>80</v>
      </c>
      <c r="L51" s="266"/>
      <c r="M51" s="267"/>
      <c r="N51" s="283"/>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s="5" customFormat="1" ht="15" customHeight="1" x14ac:dyDescent="0.25">
      <c r="A52" s="142" t="s">
        <v>121</v>
      </c>
      <c r="B52" s="210">
        <f>LOOKUP("T-Lf",'Pace Chart'!$E$24:$F$38)</f>
        <v>5.2662037037037035E-3</v>
      </c>
      <c r="C52" s="109">
        <v>1.7</v>
      </c>
      <c r="D52" s="215">
        <f>LOOKUP("R-mar",'Pace Chart'!$E$24:$F$38)</f>
        <v>4.4791666666666669E-3</v>
      </c>
      <c r="E52" s="210">
        <f>LOOKUP("T-Lf",'Pace Chart'!$E$24:$F$38)</f>
        <v>5.2662037037037035E-3</v>
      </c>
      <c r="F52" s="89" t="s">
        <v>110</v>
      </c>
      <c r="G52" s="90">
        <f>LOOKUP("T-LS",'Pace Chart'!$E$24:$F$38)</f>
        <v>5.4513888888888884E-3</v>
      </c>
      <c r="H52" s="210">
        <f>LOOKUP("T-Lf",'Pace Chart'!$E$24:$F$38)</f>
        <v>5.2662037037037035E-3</v>
      </c>
      <c r="I52" s="121">
        <v>17</v>
      </c>
      <c r="J52" s="121">
        <v>20</v>
      </c>
      <c r="K52" s="89">
        <v>21</v>
      </c>
      <c r="L52" s="34"/>
      <c r="M52" s="66">
        <f>LOOKUP("T-LS",'Pace Chart'!$E$24:$F$38)</f>
        <v>5.4513888888888884E-3</v>
      </c>
      <c r="N52" s="283"/>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s="5" customFormat="1" ht="15" customHeight="1" x14ac:dyDescent="0.25">
      <c r="A53" s="142"/>
      <c r="B53" s="13"/>
      <c r="C53" s="216" t="s">
        <v>79</v>
      </c>
      <c r="D53" s="215" t="s">
        <v>124</v>
      </c>
      <c r="E53" s="13"/>
      <c r="F53" s="89">
        <v>5</v>
      </c>
      <c r="G53" s="90">
        <f>LOOKUP("R-Mar",'Pace Chart'!$E$24:$F$38)</f>
        <v>4.4791666666666669E-3</v>
      </c>
      <c r="H53" s="13" t="s">
        <v>113</v>
      </c>
      <c r="I53" s="133"/>
      <c r="J53" s="133"/>
      <c r="K53" s="35"/>
      <c r="L53" s="34"/>
      <c r="M53" s="66"/>
      <c r="N53" s="28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s="5" customFormat="1" ht="15.75" customHeight="1" x14ac:dyDescent="0.25">
      <c r="A54" s="143"/>
      <c r="B54" s="21"/>
      <c r="C54" s="31"/>
      <c r="D54" s="33"/>
      <c r="E54" s="21"/>
      <c r="F54" s="105" t="s">
        <v>129</v>
      </c>
      <c r="G54" s="106">
        <f>LOOKUP("T-LS",'Pace Chart'!$E$24:$F$38)</f>
        <v>5.4513888888888884E-3</v>
      </c>
      <c r="H54" s="22"/>
      <c r="I54" s="132"/>
      <c r="J54" s="132"/>
      <c r="K54" s="36"/>
      <c r="L54" s="37"/>
      <c r="M54" s="67"/>
      <c r="N54" s="28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s="5" customFormat="1" ht="15.75" customHeight="1" x14ac:dyDescent="0.25">
      <c r="A55" s="144">
        <f>B55-1</f>
        <v>43913</v>
      </c>
      <c r="B55" s="23">
        <f>C55-1</f>
        <v>43914</v>
      </c>
      <c r="C55" s="254">
        <f>E55-1</f>
        <v>43915</v>
      </c>
      <c r="D55" s="255"/>
      <c r="E55" s="23">
        <f>F55-1</f>
        <v>43916</v>
      </c>
      <c r="F55" s="254">
        <f>H55-1</f>
        <v>43917</v>
      </c>
      <c r="G55" s="255"/>
      <c r="H55" s="23">
        <f>K55-1</f>
        <v>43918</v>
      </c>
      <c r="I55" s="129"/>
      <c r="J55" s="129"/>
      <c r="K55" s="254">
        <f>A60-1</f>
        <v>43919</v>
      </c>
      <c r="L55" s="256"/>
      <c r="M55" s="257"/>
      <c r="N55" s="285">
        <f>(43-63)*(-$A$7)+43</f>
        <v>63</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ht="15" customHeight="1" x14ac:dyDescent="0.25">
      <c r="A56" s="145" t="s">
        <v>111</v>
      </c>
      <c r="B56" s="11" t="s">
        <v>112</v>
      </c>
      <c r="C56" s="258" t="s">
        <v>114</v>
      </c>
      <c r="D56" s="259"/>
      <c r="E56" s="11" t="s">
        <v>112</v>
      </c>
      <c r="F56" s="241" t="s">
        <v>88</v>
      </c>
      <c r="G56" s="242"/>
      <c r="H56" s="11" t="s">
        <v>112</v>
      </c>
      <c r="I56" s="119"/>
      <c r="J56" s="119"/>
      <c r="K56" s="243" t="s">
        <v>93</v>
      </c>
      <c r="L56" s="244"/>
      <c r="M56" s="245"/>
      <c r="N56" s="286"/>
    </row>
    <row r="57" spans="1:56" ht="15" customHeight="1" x14ac:dyDescent="0.25">
      <c r="A57" s="146" t="s">
        <v>121</v>
      </c>
      <c r="B57" s="211">
        <f>LOOKUP("T-Lf",'Pace Chart'!$E$24:$F$38)</f>
        <v>5.2662037037037035E-3</v>
      </c>
      <c r="C57" s="217" t="s">
        <v>117</v>
      </c>
      <c r="D57" s="218">
        <f>LOOKUP("R-10k",'Pace Chart'!$E$24:$F$38)</f>
        <v>4.108796296296297E-3</v>
      </c>
      <c r="E57" s="211">
        <f>LOOKUP("T-Lf",'Pace Chart'!$E$24:$F$38)</f>
        <v>5.2662037037037035E-3</v>
      </c>
      <c r="F57" s="81" t="s">
        <v>110</v>
      </c>
      <c r="G57" s="88">
        <f>LOOKUP("T-LS",'Pace Chart'!$E$24:$F$38)</f>
        <v>5.4513888888888884E-3</v>
      </c>
      <c r="H57" s="211">
        <f>LOOKUP("T-Lf",'Pace Chart'!$E$24:$F$38)</f>
        <v>5.2662037037037035E-3</v>
      </c>
      <c r="I57" s="120">
        <v>19</v>
      </c>
      <c r="J57" s="120">
        <v>22</v>
      </c>
      <c r="K57" s="81">
        <v>14</v>
      </c>
      <c r="L57" s="85"/>
      <c r="M57" s="86">
        <f>LOOKUP("T-LS",'Pace Chart'!$E$24:$F$38)</f>
        <v>5.4513888888888884E-3</v>
      </c>
      <c r="N57" s="286"/>
    </row>
    <row r="58" spans="1:56" ht="15" customHeight="1" x14ac:dyDescent="0.25">
      <c r="A58" s="146"/>
      <c r="B58" s="18"/>
      <c r="C58" s="219" t="s">
        <v>85</v>
      </c>
      <c r="D58" s="218" t="s">
        <v>124</v>
      </c>
      <c r="E58" s="18"/>
      <c r="F58" s="28" t="s">
        <v>134</v>
      </c>
      <c r="G58" s="91">
        <f>LOOKUP("R-Mar",'Pace Chart'!$E$24:$F$38)</f>
        <v>4.4791666666666669E-3</v>
      </c>
      <c r="H58" s="18" t="s">
        <v>113</v>
      </c>
      <c r="I58" s="120"/>
      <c r="J58" s="120"/>
      <c r="K58" s="38" t="s">
        <v>81</v>
      </c>
      <c r="L58" s="39"/>
      <c r="M58" s="64">
        <f>LOOKUP("R-Mar",'Pace Chart'!$E$24:$F$38)</f>
        <v>4.4791666666666669E-3</v>
      </c>
      <c r="N58" s="286"/>
    </row>
    <row r="59" spans="1:56" ht="15.75" customHeight="1" x14ac:dyDescent="0.25">
      <c r="A59" s="147"/>
      <c r="B59" s="20"/>
      <c r="C59" s="260"/>
      <c r="D59" s="261"/>
      <c r="E59" s="25"/>
      <c r="F59" s="103" t="s">
        <v>108</v>
      </c>
      <c r="G59" s="104" t="s">
        <v>124</v>
      </c>
      <c r="H59" s="108"/>
      <c r="I59" s="118"/>
      <c r="J59" s="118"/>
      <c r="K59" s="262"/>
      <c r="L59" s="263"/>
      <c r="M59" s="264"/>
      <c r="N59" s="287"/>
    </row>
    <row r="60" spans="1:56" x14ac:dyDescent="0.25">
      <c r="A60" s="148">
        <f>B60-1</f>
        <v>43920</v>
      </c>
      <c r="B60" s="24">
        <f>C60-1</f>
        <v>43921</v>
      </c>
      <c r="C60" s="246">
        <f>E60-1</f>
        <v>43922</v>
      </c>
      <c r="D60" s="247"/>
      <c r="E60" s="24">
        <f>F60-1</f>
        <v>43923</v>
      </c>
      <c r="F60" s="246">
        <f>H60-1</f>
        <v>43924</v>
      </c>
      <c r="G60" s="247"/>
      <c r="H60" s="24">
        <f>K60-1</f>
        <v>43925</v>
      </c>
      <c r="I60" s="131"/>
      <c r="J60" s="131"/>
      <c r="K60" s="248">
        <f>A65-1</f>
        <v>43926</v>
      </c>
      <c r="L60" s="249"/>
      <c r="M60" s="250"/>
      <c r="N60" s="282">
        <f>(45-65)*(-$A$7)+45</f>
        <v>65</v>
      </c>
    </row>
    <row r="61" spans="1:56" s="5" customFormat="1" ht="15" customHeight="1" x14ac:dyDescent="0.25">
      <c r="A61" s="141" t="s">
        <v>111</v>
      </c>
      <c r="B61" s="12" t="s">
        <v>112</v>
      </c>
      <c r="C61" s="236" t="s">
        <v>87</v>
      </c>
      <c r="D61" s="237"/>
      <c r="E61" s="12" t="s">
        <v>112</v>
      </c>
      <c r="F61" s="236" t="s">
        <v>88</v>
      </c>
      <c r="G61" s="237"/>
      <c r="H61" s="12" t="s">
        <v>112</v>
      </c>
      <c r="I61" s="114"/>
      <c r="J61" s="114"/>
      <c r="K61" s="265" t="s">
        <v>80</v>
      </c>
      <c r="L61" s="266"/>
      <c r="M61" s="267"/>
      <c r="N61" s="283"/>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s="5" customFormat="1" ht="15" customHeight="1" x14ac:dyDescent="0.25">
      <c r="A62" s="142" t="s">
        <v>121</v>
      </c>
      <c r="B62" s="210">
        <f>LOOKUP("T-Lf",'Pace Chart'!$E$24:$F$38)</f>
        <v>5.2662037037037035E-3</v>
      </c>
      <c r="C62" s="92" t="s">
        <v>127</v>
      </c>
      <c r="D62" s="93">
        <f>LOOKUP("R-Mar",'Pace Chart'!$E$24:$F$38)</f>
        <v>4.4791666666666669E-3</v>
      </c>
      <c r="E62" s="210">
        <f>LOOKUP("T-Lf",'Pace Chart'!$E$24:$F$38)</f>
        <v>5.2662037037037035E-3</v>
      </c>
      <c r="F62" s="109" t="s">
        <v>110</v>
      </c>
      <c r="G62" s="90">
        <f>LOOKUP("T-LS",'Pace Chart'!$E$24:$F$38)</f>
        <v>5.4513888888888884E-3</v>
      </c>
      <c r="H62" s="210">
        <f>LOOKUP("T-Lf",'Pace Chart'!$E$24:$F$38)</f>
        <v>5.2662037037037035E-3</v>
      </c>
      <c r="I62" s="121">
        <v>11</v>
      </c>
      <c r="J62" s="121">
        <v>18</v>
      </c>
      <c r="K62" s="80">
        <v>17</v>
      </c>
      <c r="L62" s="34"/>
      <c r="M62" s="66">
        <f>LOOKUP("R-Mar",'Pace Chart'!$E$24:$F$38)/0.8</f>
        <v>5.5989583333333334E-3</v>
      </c>
      <c r="N62" s="283"/>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s="5" customFormat="1" ht="15" customHeight="1" x14ac:dyDescent="0.25">
      <c r="A63" s="142"/>
      <c r="B63" s="13"/>
      <c r="C63" s="94" t="s">
        <v>79</v>
      </c>
      <c r="D63" s="95" t="s">
        <v>124</v>
      </c>
      <c r="E63" s="13"/>
      <c r="F63" s="110" t="s">
        <v>89</v>
      </c>
      <c r="G63" s="90">
        <f>LOOKUP("R-Mar",'Pace Chart'!$E$24:$F$38)</f>
        <v>4.4791666666666669E-3</v>
      </c>
      <c r="H63" s="13" t="s">
        <v>113</v>
      </c>
      <c r="I63" s="121"/>
      <c r="J63" s="121"/>
      <c r="K63" s="35"/>
      <c r="L63" s="34"/>
      <c r="M63" s="66"/>
      <c r="N63" s="28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s="5" customFormat="1" ht="15.75" customHeight="1" x14ac:dyDescent="0.25">
      <c r="A64" s="143"/>
      <c r="B64" s="21"/>
      <c r="C64" s="31"/>
      <c r="D64" s="33"/>
      <c r="E64" s="21"/>
      <c r="F64" s="105" t="s">
        <v>129</v>
      </c>
      <c r="G64" s="106">
        <f>LOOKUP("T-LS",'Pace Chart'!$E$24:$F$38)</f>
        <v>5.4513888888888884E-3</v>
      </c>
      <c r="H64" s="209"/>
      <c r="I64" s="132"/>
      <c r="J64" s="132"/>
      <c r="K64" s="36"/>
      <c r="L64" s="37"/>
      <c r="M64" s="67"/>
      <c r="N64" s="28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s="5" customFormat="1" ht="15.75" customHeight="1" x14ac:dyDescent="0.25">
      <c r="A65" s="144">
        <f>B65-1</f>
        <v>43927</v>
      </c>
      <c r="B65" s="23">
        <f>C65-1</f>
        <v>43928</v>
      </c>
      <c r="C65" s="254">
        <f>E65-1</f>
        <v>43929</v>
      </c>
      <c r="D65" s="255"/>
      <c r="E65" s="23">
        <f>F65-1</f>
        <v>43930</v>
      </c>
      <c r="F65" s="254">
        <f>H65-1</f>
        <v>43931</v>
      </c>
      <c r="G65" s="255"/>
      <c r="H65" s="23">
        <f>K65-1</f>
        <v>43932</v>
      </c>
      <c r="I65" s="129"/>
      <c r="J65" s="129"/>
      <c r="K65" s="254">
        <f>A70-1</f>
        <v>43933</v>
      </c>
      <c r="L65" s="256"/>
      <c r="M65" s="257"/>
      <c r="N65" s="285">
        <f>(30-40)*(-$A$7)+30</f>
        <v>40</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 customHeight="1" x14ac:dyDescent="0.25">
      <c r="A66" s="145" t="s">
        <v>111</v>
      </c>
      <c r="B66" s="11" t="s">
        <v>112</v>
      </c>
      <c r="C66" s="241" t="s">
        <v>53</v>
      </c>
      <c r="D66" s="242"/>
      <c r="E66" s="11" t="s">
        <v>112</v>
      </c>
      <c r="F66" s="241" t="s">
        <v>88</v>
      </c>
      <c r="G66" s="242"/>
      <c r="H66" s="11" t="s">
        <v>112</v>
      </c>
      <c r="I66" s="119"/>
      <c r="J66" s="119"/>
      <c r="K66" s="243" t="s">
        <v>80</v>
      </c>
      <c r="L66" s="244"/>
      <c r="M66" s="245"/>
      <c r="N66" s="286"/>
    </row>
    <row r="67" spans="1:56" ht="15" customHeight="1" x14ac:dyDescent="0.25">
      <c r="A67" s="146" t="s">
        <v>121</v>
      </c>
      <c r="B67" s="211">
        <f>LOOKUP("T-Lf",'Pace Chart'!$E$24:$F$38)</f>
        <v>5.2662037037037035E-3</v>
      </c>
      <c r="C67" s="98" t="s">
        <v>128</v>
      </c>
      <c r="D67" s="91">
        <f>LOOKUP("R-Mar",'Pace Chart'!$E$24:$F$38)</f>
        <v>4.4791666666666669E-3</v>
      </c>
      <c r="E67" s="211">
        <f>LOOKUP("T-Lf",'Pace Chart'!$E$24:$F$38)</f>
        <v>5.2662037037037035E-3</v>
      </c>
      <c r="F67" s="81" t="s">
        <v>110</v>
      </c>
      <c r="G67" s="88">
        <f>LOOKUP("T-LS",'Pace Chart'!$E$24:$F$38)</f>
        <v>5.4513888888888884E-3</v>
      </c>
      <c r="H67" s="211">
        <f>LOOKUP("T-Lf",'Pace Chart'!$E$24:$F$38)</f>
        <v>5.2662037037037035E-3</v>
      </c>
      <c r="I67" s="120">
        <v>9</v>
      </c>
      <c r="J67" s="120">
        <v>14</v>
      </c>
      <c r="K67" s="81">
        <f>I67+(J67-I67)*Distance_Pct</f>
        <v>14</v>
      </c>
      <c r="L67" s="39"/>
      <c r="M67" s="64">
        <f>LOOKUP("R-Mar",'Pace Chart'!$E$24:$F$38)/0.8</f>
        <v>5.5989583333333334E-3</v>
      </c>
      <c r="N67" s="286"/>
    </row>
    <row r="68" spans="1:56" ht="15" customHeight="1" x14ac:dyDescent="0.25">
      <c r="A68" s="146"/>
      <c r="B68" s="18"/>
      <c r="C68" s="99" t="s">
        <v>79</v>
      </c>
      <c r="D68" s="91" t="s">
        <v>124</v>
      </c>
      <c r="E68" s="18"/>
      <c r="F68" s="111" t="s">
        <v>135</v>
      </c>
      <c r="G68" s="88">
        <f>LOOKUP("R-Mar",'Pace Chart'!$E$24:$F$38)</f>
        <v>4.4791666666666669E-3</v>
      </c>
      <c r="H68" s="18" t="s">
        <v>113</v>
      </c>
      <c r="I68" s="120"/>
      <c r="J68" s="120"/>
      <c r="K68" s="82"/>
      <c r="L68" s="83"/>
      <c r="M68" s="84"/>
      <c r="N68" s="286"/>
    </row>
    <row r="69" spans="1:56" ht="15.75" x14ac:dyDescent="0.25">
      <c r="A69" s="147"/>
      <c r="B69" s="20"/>
      <c r="C69" s="55"/>
      <c r="D69" s="56"/>
      <c r="E69" s="25"/>
      <c r="F69" s="103" t="s">
        <v>129</v>
      </c>
      <c r="G69" s="104">
        <f>LOOKUP("T-LS",'Pace Chart'!$E$24:$F$38)</f>
        <v>5.4513888888888884E-3</v>
      </c>
      <c r="H69" s="25"/>
      <c r="I69" s="118"/>
      <c r="J69" s="118"/>
      <c r="K69" s="40"/>
      <c r="L69" s="41"/>
      <c r="M69" s="65"/>
      <c r="N69" s="287"/>
    </row>
    <row r="70" spans="1:56" ht="15" customHeight="1" x14ac:dyDescent="0.25">
      <c r="A70" s="148">
        <f>B70-1</f>
        <v>43934</v>
      </c>
      <c r="B70" s="24">
        <f>C70-1</f>
        <v>43935</v>
      </c>
      <c r="C70" s="246">
        <f>E70-1</f>
        <v>43936</v>
      </c>
      <c r="D70" s="247"/>
      <c r="E70" s="24">
        <f>F70-1</f>
        <v>43937</v>
      </c>
      <c r="F70" s="246">
        <f>H70-1</f>
        <v>43938</v>
      </c>
      <c r="G70" s="247"/>
      <c r="H70" s="24">
        <f>K70-1</f>
        <v>43939</v>
      </c>
      <c r="I70" s="131"/>
      <c r="J70" s="131"/>
      <c r="K70" s="248">
        <f>A75-1</f>
        <v>43940</v>
      </c>
      <c r="L70" s="249"/>
      <c r="M70" s="250"/>
      <c r="N70" s="291" t="s">
        <v>86</v>
      </c>
    </row>
    <row r="71" spans="1:56" s="5" customFormat="1" ht="15" customHeight="1" x14ac:dyDescent="0.25">
      <c r="A71" s="141" t="s">
        <v>111</v>
      </c>
      <c r="B71" s="12" t="s">
        <v>122</v>
      </c>
      <c r="C71" s="236" t="s">
        <v>84</v>
      </c>
      <c r="D71" s="237"/>
      <c r="E71" s="12" t="s">
        <v>122</v>
      </c>
      <c r="F71" s="236" t="s">
        <v>109</v>
      </c>
      <c r="G71" s="237"/>
      <c r="H71" s="19"/>
      <c r="I71" s="114"/>
      <c r="J71" s="114"/>
      <c r="K71" s="238"/>
      <c r="L71" s="239"/>
      <c r="M71" s="240"/>
      <c r="N71" s="292"/>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s="5" customFormat="1" ht="15" customHeight="1" x14ac:dyDescent="0.25">
      <c r="A72" s="142" t="s">
        <v>121</v>
      </c>
      <c r="B72" s="210">
        <f>LOOKUP("T-Lf",'Pace Chart'!$E$24:$F$38)</f>
        <v>5.2662037037037035E-3</v>
      </c>
      <c r="C72" s="92" t="s">
        <v>131</v>
      </c>
      <c r="D72" s="93">
        <f>LOOKUP("R-Mar",'Pace Chart'!$E$24:$F$38)</f>
        <v>4.4791666666666669E-3</v>
      </c>
      <c r="E72" s="210">
        <f>LOOKUP("T-Lf",'Pace Chart'!$E$24:$F$38)</f>
        <v>5.2662037037037035E-3</v>
      </c>
      <c r="F72" s="89" t="s">
        <v>110</v>
      </c>
      <c r="G72" s="90">
        <f>LOOKUP("T-LS",'Pace Chart'!$E$24:$F$38)</f>
        <v>5.4513888888888884E-3</v>
      </c>
      <c r="H72" s="63" t="s">
        <v>82</v>
      </c>
      <c r="I72" s="121"/>
      <c r="J72" s="121"/>
      <c r="K72" s="251" t="s">
        <v>82</v>
      </c>
      <c r="L72" s="252"/>
      <c r="M72" s="253"/>
      <c r="N72" s="29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s="5" customFormat="1" ht="15" customHeight="1" x14ac:dyDescent="0.25">
      <c r="A73" s="142"/>
      <c r="B73" s="13"/>
      <c r="C73" s="94" t="s">
        <v>85</v>
      </c>
      <c r="D73" s="95" t="s">
        <v>124</v>
      </c>
      <c r="E73" s="13"/>
      <c r="F73" s="89" t="s">
        <v>130</v>
      </c>
      <c r="G73" s="90">
        <f>LOOKUP("R-mar",'Pace Chart'!$E$24:$F$38)</f>
        <v>4.4791666666666669E-3</v>
      </c>
      <c r="H73" s="63" t="s">
        <v>83</v>
      </c>
      <c r="I73" s="121"/>
      <c r="J73" s="121"/>
      <c r="K73" s="251" t="s">
        <v>83</v>
      </c>
      <c r="L73" s="252"/>
      <c r="M73" s="253"/>
      <c r="N73" s="292"/>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s="5" customFormat="1" ht="15.75" customHeight="1" x14ac:dyDescent="0.25">
      <c r="A74" s="151"/>
      <c r="B74" s="61"/>
      <c r="C74" s="43"/>
      <c r="D74" s="53"/>
      <c r="E74" s="61"/>
      <c r="F74" s="105" t="s">
        <v>129</v>
      </c>
      <c r="G74" s="106">
        <f>LOOKUP("T-LS",'Pace Chart'!$E$24:$F$38)</f>
        <v>5.4513888888888884E-3</v>
      </c>
      <c r="H74" s="54"/>
      <c r="I74" s="134"/>
      <c r="J74" s="134"/>
      <c r="K74" s="233"/>
      <c r="L74" s="234"/>
      <c r="M74" s="235"/>
      <c r="N74" s="293"/>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x14ac:dyDescent="0.25">
      <c r="A75" s="205">
        <v>43941</v>
      </c>
      <c r="B75" s="57"/>
      <c r="C75" s="57"/>
      <c r="D75" s="57"/>
      <c r="E75" s="57"/>
      <c r="F75" s="57"/>
      <c r="G75" s="57"/>
      <c r="H75" s="57"/>
      <c r="I75" s="135"/>
      <c r="J75" s="135"/>
      <c r="K75" s="57"/>
      <c r="L75" s="58"/>
      <c r="M75" s="58"/>
      <c r="N75" s="69"/>
    </row>
    <row r="76" spans="1:56" x14ac:dyDescent="0.25">
      <c r="A76" s="206" t="s">
        <v>136</v>
      </c>
      <c r="B76" s="57"/>
      <c r="C76" s="57"/>
      <c r="D76" s="57"/>
      <c r="E76" s="57"/>
      <c r="F76" s="57"/>
      <c r="G76" s="57"/>
      <c r="H76" s="57"/>
      <c r="I76" s="135"/>
      <c r="J76" s="135"/>
      <c r="K76" s="57"/>
      <c r="L76" s="58"/>
      <c r="M76" s="58"/>
      <c r="N76" s="69"/>
    </row>
    <row r="77" spans="1:56" x14ac:dyDescent="0.25">
      <c r="A77" s="181"/>
      <c r="B77" s="57"/>
      <c r="C77" s="1"/>
      <c r="D77" s="1"/>
      <c r="E77" s="57"/>
      <c r="F77" s="57"/>
      <c r="G77" s="57"/>
      <c r="H77" s="57"/>
      <c r="I77" s="135"/>
      <c r="J77" s="135"/>
      <c r="K77" s="57"/>
      <c r="L77" s="58"/>
      <c r="M77" s="58"/>
      <c r="N77" s="69"/>
    </row>
    <row r="78" spans="1:56" x14ac:dyDescent="0.25">
      <c r="A78" s="203" t="s">
        <v>55</v>
      </c>
      <c r="B78" s="202"/>
      <c r="C78" s="1"/>
      <c r="D78" s="1"/>
      <c r="E78" s="57"/>
      <c r="F78" s="57"/>
      <c r="G78" s="57"/>
      <c r="H78" s="57"/>
      <c r="I78" s="135"/>
      <c r="J78" s="135"/>
      <c r="K78" s="57"/>
      <c r="L78" s="58"/>
      <c r="M78" s="58"/>
      <c r="N78" s="69"/>
    </row>
    <row r="79" spans="1:56" x14ac:dyDescent="0.25">
      <c r="A79" s="204">
        <f>LOOKUP("R-Mar",'Pace Chart'!$E$24:$F$38)</f>
        <v>4.4791666666666669E-3</v>
      </c>
      <c r="B79" s="59"/>
      <c r="C79" s="1"/>
      <c r="D79" s="1"/>
      <c r="E79" s="57"/>
      <c r="F79" s="57"/>
      <c r="G79" s="57"/>
      <c r="H79" s="57"/>
      <c r="I79" s="135"/>
      <c r="J79" s="135"/>
      <c r="K79" s="57"/>
      <c r="L79" s="58"/>
      <c r="M79" s="58"/>
      <c r="N79" s="69"/>
    </row>
    <row r="80" spans="1:56" x14ac:dyDescent="0.25">
      <c r="A80" s="14"/>
      <c r="B80" s="59"/>
      <c r="C80" s="1"/>
      <c r="D80" s="1"/>
      <c r="E80" s="57"/>
      <c r="F80" s="57"/>
      <c r="G80" s="57"/>
      <c r="H80" s="57"/>
      <c r="I80" s="135"/>
      <c r="J80" s="135"/>
      <c r="K80" s="57"/>
      <c r="L80" s="58"/>
      <c r="M80" s="58"/>
      <c r="N80" s="69"/>
    </row>
    <row r="81" spans="1:14" x14ac:dyDescent="0.25">
      <c r="A81" s="60"/>
      <c r="B81" s="59"/>
      <c r="C81" s="57"/>
      <c r="D81" s="57"/>
      <c r="E81" s="57"/>
      <c r="F81" s="57"/>
      <c r="G81" s="57"/>
      <c r="H81" s="57"/>
      <c r="I81" s="135"/>
      <c r="J81" s="135"/>
      <c r="K81" s="57"/>
      <c r="L81" s="58"/>
      <c r="M81" s="58"/>
      <c r="N81" s="69"/>
    </row>
    <row r="82" spans="1:14" x14ac:dyDescent="0.25">
      <c r="A82" s="60"/>
      <c r="B82" s="59"/>
      <c r="C82" s="57"/>
      <c r="D82" s="57"/>
      <c r="E82" s="57"/>
      <c r="F82" s="57"/>
      <c r="G82" s="57"/>
      <c r="H82" s="57"/>
      <c r="I82" s="135"/>
      <c r="J82" s="135"/>
      <c r="K82" s="57"/>
      <c r="L82" s="58"/>
      <c r="M82" s="58"/>
      <c r="N82" s="69"/>
    </row>
    <row r="83" spans="1:14" x14ac:dyDescent="0.25">
      <c r="A83" s="60"/>
      <c r="B83" s="59"/>
      <c r="C83" s="57"/>
      <c r="D83" s="57"/>
      <c r="E83" s="57"/>
      <c r="F83" s="57"/>
      <c r="G83" s="57"/>
      <c r="H83" s="57"/>
      <c r="I83" s="135"/>
      <c r="J83" s="135"/>
      <c r="K83" s="57"/>
      <c r="L83" s="58"/>
      <c r="M83" s="58"/>
      <c r="N83" s="69"/>
    </row>
    <row r="84" spans="1:14" x14ac:dyDescent="0.25">
      <c r="A84" s="60"/>
      <c r="B84" s="59"/>
      <c r="C84" s="57"/>
      <c r="D84" s="57"/>
      <c r="E84" s="57"/>
      <c r="F84" s="57"/>
      <c r="G84" s="57"/>
      <c r="H84" s="57"/>
      <c r="I84" s="135"/>
      <c r="J84" s="135"/>
      <c r="K84" s="57"/>
      <c r="L84" s="58"/>
      <c r="M84" s="58"/>
      <c r="N84" s="69"/>
    </row>
    <row r="85" spans="1:14" x14ac:dyDescent="0.25">
      <c r="A85" s="60"/>
      <c r="B85" s="59"/>
      <c r="C85" s="57"/>
      <c r="D85" s="57"/>
      <c r="E85" s="57"/>
      <c r="F85" s="57"/>
      <c r="G85" s="57"/>
      <c r="H85" s="57"/>
      <c r="I85" s="135"/>
      <c r="J85" s="135"/>
      <c r="K85" s="57"/>
      <c r="L85" s="58"/>
      <c r="M85" s="58"/>
      <c r="N85" s="69"/>
    </row>
    <row r="86" spans="1:14" x14ac:dyDescent="0.25">
      <c r="A86" s="60"/>
      <c r="B86" s="59"/>
      <c r="C86" s="57"/>
      <c r="D86" s="57"/>
      <c r="E86" s="57"/>
      <c r="F86" s="57"/>
      <c r="G86" s="57"/>
      <c r="H86" s="57"/>
      <c r="I86" s="135"/>
      <c r="J86" s="135"/>
      <c r="K86" s="57"/>
      <c r="L86" s="58"/>
      <c r="M86" s="58"/>
      <c r="N86" s="69"/>
    </row>
    <row r="87" spans="1:14" x14ac:dyDescent="0.25">
      <c r="A87" s="60"/>
      <c r="B87" s="59"/>
      <c r="C87" s="57"/>
      <c r="D87" s="57"/>
      <c r="E87" s="57"/>
      <c r="F87" s="57"/>
      <c r="G87" s="57"/>
      <c r="H87" s="57"/>
      <c r="I87" s="135"/>
      <c r="J87" s="135"/>
      <c r="K87" s="57"/>
      <c r="L87" s="58"/>
      <c r="M87" s="58"/>
      <c r="N87" s="69"/>
    </row>
    <row r="88" spans="1:14" x14ac:dyDescent="0.25">
      <c r="A88" s="60"/>
      <c r="B88" s="59"/>
      <c r="C88" s="57"/>
      <c r="D88" s="57"/>
      <c r="E88" s="57"/>
      <c r="F88" s="57"/>
      <c r="G88" s="57"/>
      <c r="H88" s="57"/>
      <c r="I88" s="135"/>
      <c r="J88" s="135"/>
      <c r="K88" s="57"/>
      <c r="L88" s="58"/>
      <c r="M88" s="58"/>
      <c r="N88" s="69"/>
    </row>
    <row r="89" spans="1:14" x14ac:dyDescent="0.25">
      <c r="A89" s="60"/>
      <c r="B89" s="59"/>
      <c r="C89" s="57"/>
      <c r="D89" s="57"/>
      <c r="E89" s="57"/>
      <c r="F89" s="57"/>
      <c r="G89" s="57"/>
      <c r="H89" s="57"/>
      <c r="I89" s="135"/>
      <c r="J89" s="135"/>
      <c r="K89" s="57"/>
      <c r="L89" s="58"/>
      <c r="M89" s="58"/>
      <c r="N89" s="69"/>
    </row>
    <row r="90" spans="1:14" x14ac:dyDescent="0.25">
      <c r="A90" s="57"/>
      <c r="B90" s="57"/>
      <c r="C90" s="57"/>
      <c r="D90" s="57"/>
      <c r="E90" s="57"/>
      <c r="F90" s="57"/>
      <c r="G90" s="57"/>
      <c r="H90" s="57"/>
      <c r="I90" s="135"/>
      <c r="J90" s="135"/>
      <c r="K90" s="57"/>
      <c r="L90" s="58"/>
      <c r="M90" s="58"/>
      <c r="N90" s="69"/>
    </row>
    <row r="91" spans="1:14" x14ac:dyDescent="0.25">
      <c r="A91" s="57"/>
      <c r="B91" s="57"/>
      <c r="C91" s="57"/>
      <c r="D91" s="57"/>
      <c r="E91" s="57"/>
      <c r="F91" s="57"/>
      <c r="G91" s="57"/>
      <c r="H91" s="57"/>
      <c r="I91" s="135"/>
      <c r="J91" s="135"/>
      <c r="K91" s="57"/>
      <c r="L91" s="58"/>
      <c r="M91" s="58"/>
      <c r="N91" s="69"/>
    </row>
    <row r="92" spans="1:14" x14ac:dyDescent="0.25">
      <c r="A92" s="57"/>
      <c r="B92" s="57"/>
      <c r="C92" s="57"/>
      <c r="D92" s="57"/>
      <c r="E92" s="57"/>
      <c r="F92" s="57"/>
      <c r="G92" s="57"/>
      <c r="H92" s="57"/>
      <c r="I92" s="135"/>
      <c r="J92" s="135"/>
      <c r="K92" s="57"/>
      <c r="L92" s="58"/>
      <c r="M92" s="58"/>
      <c r="N92" s="69"/>
    </row>
    <row r="93" spans="1:14" x14ac:dyDescent="0.25">
      <c r="A93" s="57"/>
      <c r="B93" s="57"/>
      <c r="C93" s="57"/>
      <c r="D93" s="57"/>
      <c r="E93" s="57"/>
      <c r="F93" s="57"/>
      <c r="G93" s="57"/>
      <c r="H93" s="57"/>
      <c r="I93" s="135"/>
      <c r="J93" s="135"/>
      <c r="K93" s="57"/>
      <c r="L93" s="58"/>
      <c r="M93" s="58"/>
      <c r="N93" s="69"/>
    </row>
    <row r="94" spans="1:14" x14ac:dyDescent="0.25">
      <c r="A94" s="57"/>
      <c r="B94" s="57"/>
      <c r="C94" s="57"/>
      <c r="D94" s="57"/>
      <c r="E94" s="57"/>
      <c r="F94" s="57"/>
      <c r="G94" s="57"/>
      <c r="H94" s="57"/>
      <c r="I94" s="135"/>
      <c r="J94" s="135"/>
      <c r="K94" s="57"/>
      <c r="L94" s="58"/>
      <c r="M94" s="58"/>
      <c r="N94" s="69"/>
    </row>
    <row r="95" spans="1:14" x14ac:dyDescent="0.25">
      <c r="A95" s="57"/>
      <c r="B95" s="57"/>
      <c r="C95" s="57"/>
      <c r="D95" s="57"/>
      <c r="E95" s="57"/>
      <c r="F95" s="57"/>
      <c r="G95" s="57"/>
      <c r="H95" s="57"/>
      <c r="I95" s="135"/>
      <c r="J95" s="135"/>
      <c r="K95" s="57"/>
      <c r="L95" s="58"/>
      <c r="M95" s="58"/>
      <c r="N95" s="69"/>
    </row>
    <row r="96" spans="1:14" x14ac:dyDescent="0.25">
      <c r="A96" s="57"/>
      <c r="B96" s="57"/>
      <c r="C96" s="57"/>
      <c r="D96" s="57"/>
      <c r="E96" s="57"/>
      <c r="F96" s="57"/>
      <c r="G96" s="57"/>
      <c r="H96" s="57"/>
      <c r="I96" s="135"/>
      <c r="J96" s="135"/>
      <c r="K96" s="57"/>
      <c r="L96" s="58"/>
      <c r="M96" s="58"/>
      <c r="N96" s="69"/>
    </row>
    <row r="97" spans="1:14" x14ac:dyDescent="0.25">
      <c r="A97" s="57"/>
      <c r="B97" s="57"/>
      <c r="C97" s="57"/>
      <c r="D97" s="57"/>
      <c r="E97" s="57"/>
      <c r="F97" s="57"/>
      <c r="G97" s="57"/>
      <c r="H97" s="57"/>
      <c r="I97" s="135"/>
      <c r="J97" s="135"/>
      <c r="K97" s="57"/>
      <c r="L97" s="58"/>
      <c r="M97" s="58"/>
      <c r="N97" s="69"/>
    </row>
    <row r="98" spans="1:14" x14ac:dyDescent="0.25">
      <c r="A98" s="57"/>
      <c r="B98" s="57"/>
      <c r="C98" s="57"/>
      <c r="D98" s="57"/>
      <c r="E98" s="57"/>
      <c r="F98" s="57"/>
      <c r="G98" s="57"/>
      <c r="H98" s="57"/>
      <c r="I98" s="135"/>
      <c r="J98" s="135"/>
      <c r="K98" s="57"/>
      <c r="L98" s="58"/>
      <c r="M98" s="58"/>
      <c r="N98" s="69"/>
    </row>
    <row r="99" spans="1:14" x14ac:dyDescent="0.25">
      <c r="A99" s="57"/>
      <c r="B99" s="57"/>
      <c r="C99" s="57"/>
      <c r="D99" s="57"/>
      <c r="E99" s="57"/>
      <c r="F99" s="57"/>
      <c r="G99" s="57"/>
      <c r="H99" s="57"/>
      <c r="I99" s="135"/>
      <c r="J99" s="135"/>
      <c r="K99" s="57"/>
      <c r="L99" s="58"/>
      <c r="M99" s="58"/>
      <c r="N99" s="69"/>
    </row>
    <row r="100" spans="1:14" x14ac:dyDescent="0.25">
      <c r="A100" s="57"/>
      <c r="B100" s="57"/>
      <c r="C100" s="57"/>
      <c r="D100" s="57"/>
      <c r="E100" s="57"/>
      <c r="F100" s="57"/>
      <c r="G100" s="57"/>
      <c r="H100" s="57"/>
      <c r="I100" s="135"/>
      <c r="J100" s="135"/>
      <c r="K100" s="57"/>
      <c r="L100" s="58"/>
      <c r="M100" s="58"/>
      <c r="N100" s="69"/>
    </row>
    <row r="101" spans="1:14" x14ac:dyDescent="0.25">
      <c r="A101" s="57"/>
      <c r="B101" s="57"/>
      <c r="C101" s="57"/>
      <c r="D101" s="57"/>
      <c r="E101" s="57"/>
      <c r="F101" s="57"/>
      <c r="G101" s="57"/>
      <c r="H101" s="57"/>
      <c r="I101" s="135"/>
      <c r="J101" s="135"/>
      <c r="K101" s="57"/>
      <c r="L101" s="58"/>
      <c r="M101" s="58"/>
      <c r="N101" s="69"/>
    </row>
    <row r="102" spans="1:14" x14ac:dyDescent="0.25">
      <c r="A102" s="57"/>
      <c r="B102" s="57"/>
      <c r="C102" s="57"/>
      <c r="D102" s="57"/>
      <c r="E102" s="57"/>
      <c r="F102" s="57"/>
      <c r="G102" s="57"/>
      <c r="H102" s="57"/>
      <c r="I102" s="135"/>
      <c r="J102" s="135"/>
      <c r="K102" s="57"/>
      <c r="L102" s="58"/>
      <c r="M102" s="58"/>
      <c r="N102" s="69"/>
    </row>
    <row r="103" spans="1:14" x14ac:dyDescent="0.25">
      <c r="A103" s="57"/>
      <c r="B103" s="57"/>
      <c r="C103" s="57"/>
      <c r="D103" s="57"/>
      <c r="E103" s="57"/>
      <c r="F103" s="57"/>
      <c r="G103" s="57"/>
      <c r="H103" s="57"/>
      <c r="I103" s="135"/>
      <c r="J103" s="135"/>
      <c r="K103" s="57"/>
      <c r="L103" s="58"/>
      <c r="M103" s="58"/>
      <c r="N103" s="69"/>
    </row>
    <row r="104" spans="1:14" x14ac:dyDescent="0.25">
      <c r="A104" s="57"/>
      <c r="B104" s="57"/>
      <c r="C104" s="57"/>
      <c r="D104" s="57"/>
      <c r="E104" s="57"/>
      <c r="F104" s="57"/>
      <c r="G104" s="57"/>
      <c r="H104" s="57"/>
      <c r="I104" s="135"/>
      <c r="J104" s="135"/>
      <c r="K104" s="57"/>
      <c r="L104" s="58"/>
      <c r="M104" s="58"/>
      <c r="N104" s="69"/>
    </row>
    <row r="105" spans="1:14" x14ac:dyDescent="0.25">
      <c r="A105" s="57"/>
      <c r="B105" s="57"/>
      <c r="C105" s="57"/>
      <c r="D105" s="57"/>
      <c r="E105" s="57"/>
      <c r="F105" s="57"/>
      <c r="G105" s="57"/>
      <c r="H105" s="57"/>
      <c r="I105" s="135"/>
      <c r="J105" s="135"/>
      <c r="K105" s="57"/>
      <c r="L105" s="58"/>
      <c r="M105" s="58"/>
      <c r="N105" s="69"/>
    </row>
    <row r="106" spans="1:14" x14ac:dyDescent="0.25">
      <c r="A106" s="57"/>
      <c r="B106" s="57"/>
      <c r="C106" s="57"/>
      <c r="D106" s="57"/>
      <c r="E106" s="57"/>
      <c r="F106" s="57"/>
      <c r="G106" s="57"/>
      <c r="H106" s="57"/>
      <c r="I106" s="135"/>
      <c r="J106" s="135"/>
      <c r="K106" s="57"/>
      <c r="L106" s="58"/>
      <c r="M106" s="58"/>
      <c r="N106" s="69"/>
    </row>
    <row r="107" spans="1:14" x14ac:dyDescent="0.25">
      <c r="A107" s="57"/>
      <c r="B107" s="57"/>
      <c r="C107" s="57"/>
      <c r="D107" s="57"/>
      <c r="E107" s="57"/>
      <c r="F107" s="57"/>
      <c r="G107" s="57"/>
      <c r="H107" s="57"/>
      <c r="I107" s="135"/>
      <c r="J107" s="135"/>
      <c r="K107" s="57"/>
      <c r="L107" s="58"/>
      <c r="M107" s="58"/>
      <c r="N107" s="69"/>
    </row>
    <row r="108" spans="1:14" x14ac:dyDescent="0.25">
      <c r="A108" s="57"/>
      <c r="B108" s="57"/>
      <c r="C108" s="57"/>
      <c r="D108" s="57"/>
      <c r="E108" s="57"/>
      <c r="F108" s="57"/>
      <c r="G108" s="57"/>
      <c r="H108" s="57"/>
      <c r="I108" s="135"/>
      <c r="J108" s="135"/>
      <c r="K108" s="57"/>
      <c r="L108" s="58"/>
      <c r="M108" s="58"/>
      <c r="N108" s="69"/>
    </row>
    <row r="109" spans="1:14" x14ac:dyDescent="0.25">
      <c r="A109" s="57"/>
      <c r="B109" s="57"/>
      <c r="C109" s="57"/>
      <c r="D109" s="57"/>
      <c r="E109" s="57"/>
      <c r="F109" s="57"/>
      <c r="G109" s="57"/>
      <c r="H109" s="57"/>
      <c r="I109" s="135"/>
      <c r="J109" s="135"/>
      <c r="K109" s="57"/>
      <c r="L109" s="58"/>
      <c r="M109" s="58"/>
      <c r="N109" s="69"/>
    </row>
    <row r="110" spans="1:14" x14ac:dyDescent="0.25">
      <c r="A110" s="57"/>
      <c r="B110" s="57"/>
      <c r="C110" s="57"/>
      <c r="D110" s="57"/>
      <c r="E110" s="57"/>
      <c r="F110" s="57"/>
      <c r="G110" s="57"/>
      <c r="H110" s="57"/>
      <c r="I110" s="135"/>
      <c r="J110" s="135"/>
      <c r="K110" s="57"/>
      <c r="L110" s="58"/>
      <c r="M110" s="58"/>
      <c r="N110" s="69"/>
    </row>
    <row r="111" spans="1:14" x14ac:dyDescent="0.25">
      <c r="A111" s="57"/>
      <c r="B111" s="57"/>
      <c r="C111" s="57"/>
      <c r="D111" s="57"/>
      <c r="E111" s="57"/>
      <c r="F111" s="57"/>
      <c r="G111" s="57"/>
      <c r="H111" s="57"/>
      <c r="I111" s="135"/>
      <c r="J111" s="135"/>
      <c r="K111" s="57"/>
      <c r="L111" s="58"/>
      <c r="M111" s="58"/>
      <c r="N111" s="69"/>
    </row>
    <row r="112" spans="1:14" x14ac:dyDescent="0.25">
      <c r="A112" s="57"/>
      <c r="B112" s="57"/>
      <c r="C112" s="57"/>
      <c r="D112" s="57"/>
      <c r="E112" s="57"/>
      <c r="F112" s="57"/>
      <c r="G112" s="57"/>
      <c r="H112" s="57"/>
      <c r="I112" s="135"/>
      <c r="J112" s="135"/>
      <c r="K112" s="57"/>
      <c r="L112" s="58"/>
      <c r="M112" s="58"/>
      <c r="N112" s="69"/>
    </row>
    <row r="113" spans="1:14" x14ac:dyDescent="0.25">
      <c r="A113" s="57"/>
      <c r="B113" s="57"/>
      <c r="C113" s="57"/>
      <c r="D113" s="57"/>
      <c r="E113" s="57"/>
      <c r="F113" s="57"/>
      <c r="G113" s="57"/>
      <c r="H113" s="57"/>
      <c r="I113" s="135"/>
      <c r="J113" s="135"/>
      <c r="K113" s="57"/>
      <c r="L113" s="58"/>
      <c r="M113" s="58"/>
      <c r="N113" s="69"/>
    </row>
    <row r="114" spans="1:14" x14ac:dyDescent="0.25">
      <c r="A114" s="57"/>
      <c r="B114" s="57"/>
      <c r="C114" s="57"/>
      <c r="D114" s="57"/>
      <c r="E114" s="57"/>
      <c r="F114" s="57"/>
      <c r="G114" s="57"/>
      <c r="H114" s="57"/>
      <c r="I114" s="135"/>
      <c r="J114" s="135"/>
      <c r="K114" s="57"/>
      <c r="L114" s="58"/>
      <c r="M114" s="58"/>
      <c r="N114" s="69"/>
    </row>
    <row r="115" spans="1:14" x14ac:dyDescent="0.25">
      <c r="A115" s="57"/>
      <c r="B115" s="57"/>
      <c r="C115" s="57"/>
      <c r="D115" s="57"/>
      <c r="E115" s="57"/>
      <c r="F115" s="57"/>
      <c r="G115" s="57"/>
      <c r="H115" s="57"/>
      <c r="I115" s="135"/>
      <c r="J115" s="135"/>
      <c r="K115" s="57"/>
      <c r="L115" s="58"/>
      <c r="M115" s="58"/>
      <c r="N115" s="69"/>
    </row>
    <row r="116" spans="1:14" x14ac:dyDescent="0.25">
      <c r="A116" s="57"/>
      <c r="B116" s="57"/>
      <c r="C116" s="57"/>
      <c r="D116" s="57"/>
      <c r="E116" s="57"/>
      <c r="F116" s="57"/>
      <c r="G116" s="57"/>
      <c r="H116" s="57"/>
      <c r="I116" s="135"/>
      <c r="J116" s="135"/>
      <c r="K116" s="57"/>
      <c r="L116" s="58"/>
      <c r="M116" s="58"/>
      <c r="N116" s="69"/>
    </row>
    <row r="117" spans="1:14" x14ac:dyDescent="0.25">
      <c r="A117" s="57"/>
      <c r="B117" s="57"/>
      <c r="C117" s="57"/>
      <c r="D117" s="57"/>
      <c r="E117" s="57"/>
      <c r="F117" s="57"/>
      <c r="G117" s="57"/>
      <c r="H117" s="57"/>
      <c r="I117" s="135"/>
      <c r="J117" s="135"/>
      <c r="K117" s="57"/>
      <c r="L117" s="58"/>
      <c r="M117" s="58"/>
      <c r="N117" s="69"/>
    </row>
    <row r="118" spans="1:14" x14ac:dyDescent="0.25">
      <c r="A118" s="57"/>
      <c r="B118" s="57"/>
      <c r="C118" s="57"/>
      <c r="D118" s="57"/>
      <c r="E118" s="57"/>
      <c r="F118" s="57"/>
      <c r="G118" s="57"/>
      <c r="H118" s="57"/>
      <c r="I118" s="135"/>
      <c r="J118" s="135"/>
      <c r="K118" s="57"/>
      <c r="L118" s="58"/>
      <c r="M118" s="58"/>
      <c r="N118" s="69"/>
    </row>
    <row r="119" spans="1:14" x14ac:dyDescent="0.25">
      <c r="A119" s="57"/>
      <c r="B119" s="57"/>
      <c r="C119" s="57"/>
      <c r="D119" s="57"/>
      <c r="E119" s="57"/>
      <c r="F119" s="57"/>
      <c r="G119" s="57"/>
      <c r="H119" s="57"/>
      <c r="I119" s="135"/>
      <c r="J119" s="135"/>
      <c r="K119" s="57"/>
      <c r="L119" s="58"/>
      <c r="M119" s="58"/>
      <c r="N119" s="69"/>
    </row>
    <row r="120" spans="1:14" x14ac:dyDescent="0.25">
      <c r="A120" s="57"/>
      <c r="B120" s="57"/>
      <c r="C120" s="57"/>
      <c r="D120" s="57"/>
      <c r="E120" s="57"/>
      <c r="F120" s="57"/>
      <c r="G120" s="57"/>
      <c r="H120" s="57"/>
      <c r="I120" s="135"/>
      <c r="J120" s="135"/>
      <c r="K120" s="57"/>
      <c r="L120" s="58"/>
      <c r="M120" s="58"/>
      <c r="N120" s="69"/>
    </row>
    <row r="121" spans="1:14" x14ac:dyDescent="0.25">
      <c r="A121" s="57"/>
      <c r="B121" s="57"/>
      <c r="C121" s="57"/>
      <c r="D121" s="57"/>
      <c r="E121" s="57"/>
      <c r="F121" s="57"/>
      <c r="G121" s="57"/>
      <c r="H121" s="57"/>
      <c r="I121" s="135"/>
      <c r="J121" s="135"/>
      <c r="K121" s="57"/>
      <c r="L121" s="58"/>
      <c r="M121" s="58"/>
      <c r="N121" s="69"/>
    </row>
    <row r="122" spans="1:14" x14ac:dyDescent="0.25">
      <c r="A122" s="57"/>
      <c r="B122" s="57"/>
      <c r="C122" s="57"/>
      <c r="D122" s="57"/>
      <c r="E122" s="57"/>
      <c r="F122" s="57"/>
      <c r="G122" s="57"/>
      <c r="H122" s="57"/>
      <c r="I122" s="135"/>
      <c r="J122" s="135"/>
      <c r="K122" s="57"/>
      <c r="L122" s="58"/>
      <c r="M122" s="58"/>
      <c r="N122" s="69"/>
    </row>
    <row r="123" spans="1:14" x14ac:dyDescent="0.25">
      <c r="A123" s="57"/>
      <c r="B123" s="57"/>
      <c r="C123" s="57"/>
      <c r="D123" s="57"/>
      <c r="E123" s="57"/>
      <c r="F123" s="57"/>
      <c r="G123" s="57"/>
      <c r="H123" s="57"/>
      <c r="I123" s="135"/>
      <c r="J123" s="135"/>
      <c r="K123" s="57"/>
      <c r="L123" s="58"/>
      <c r="M123" s="58"/>
      <c r="N123" s="69"/>
    </row>
    <row r="124" spans="1:14" x14ac:dyDescent="0.25">
      <c r="A124" s="57"/>
      <c r="B124" s="57"/>
      <c r="C124" s="57"/>
      <c r="D124" s="57"/>
      <c r="E124" s="57"/>
      <c r="F124" s="57"/>
      <c r="G124" s="57"/>
      <c r="H124" s="57"/>
      <c r="I124" s="135"/>
      <c r="J124" s="135"/>
      <c r="K124" s="57"/>
      <c r="L124" s="58"/>
      <c r="M124" s="58"/>
      <c r="N124" s="69"/>
    </row>
    <row r="125" spans="1:14" x14ac:dyDescent="0.25">
      <c r="A125" s="57"/>
      <c r="B125" s="57"/>
      <c r="C125" s="57"/>
      <c r="D125" s="57"/>
      <c r="E125" s="57"/>
      <c r="F125" s="57"/>
      <c r="G125" s="57"/>
      <c r="H125" s="57"/>
      <c r="I125" s="135"/>
      <c r="J125" s="135"/>
      <c r="K125" s="57"/>
      <c r="L125" s="58"/>
      <c r="M125" s="58"/>
      <c r="N125" s="69"/>
    </row>
    <row r="126" spans="1:14" x14ac:dyDescent="0.25">
      <c r="A126" s="57"/>
      <c r="B126" s="57"/>
      <c r="C126" s="57"/>
      <c r="D126" s="57"/>
      <c r="E126" s="57"/>
      <c r="F126" s="57"/>
      <c r="G126" s="57"/>
      <c r="H126" s="57"/>
      <c r="I126" s="135"/>
      <c r="J126" s="135"/>
      <c r="K126" s="57"/>
      <c r="L126" s="58"/>
      <c r="M126" s="58"/>
      <c r="N126" s="69"/>
    </row>
    <row r="127" spans="1:14" x14ac:dyDescent="0.25">
      <c r="A127" s="57"/>
      <c r="B127" s="57"/>
      <c r="C127" s="57"/>
      <c r="D127" s="57"/>
      <c r="E127" s="57"/>
      <c r="F127" s="57"/>
      <c r="G127" s="57"/>
      <c r="H127" s="57"/>
      <c r="I127" s="135"/>
      <c r="J127" s="135"/>
      <c r="K127" s="57"/>
      <c r="L127" s="58"/>
      <c r="M127" s="58"/>
      <c r="N127" s="69"/>
    </row>
    <row r="128" spans="1:14" x14ac:dyDescent="0.25">
      <c r="A128" s="57"/>
      <c r="B128" s="57"/>
      <c r="C128" s="57"/>
      <c r="D128" s="57"/>
      <c r="E128" s="57"/>
      <c r="F128" s="57"/>
      <c r="G128" s="57"/>
      <c r="H128" s="57"/>
      <c r="I128" s="135"/>
      <c r="J128" s="135"/>
      <c r="K128" s="57"/>
      <c r="L128" s="58"/>
      <c r="M128" s="58"/>
      <c r="N128" s="69"/>
    </row>
    <row r="129" spans="1:14" x14ac:dyDescent="0.25">
      <c r="A129" s="57"/>
      <c r="B129" s="57"/>
      <c r="C129" s="57"/>
      <c r="D129" s="57"/>
      <c r="E129" s="57"/>
      <c r="F129" s="57"/>
      <c r="G129" s="57"/>
      <c r="H129" s="57"/>
      <c r="I129" s="135"/>
      <c r="J129" s="135"/>
      <c r="K129" s="57"/>
      <c r="L129" s="58"/>
      <c r="M129" s="58"/>
      <c r="N129" s="69"/>
    </row>
    <row r="130" spans="1:14" x14ac:dyDescent="0.25">
      <c r="A130" s="57"/>
      <c r="B130" s="57"/>
      <c r="C130" s="57"/>
      <c r="D130" s="57"/>
      <c r="E130" s="57"/>
      <c r="F130" s="57"/>
      <c r="G130" s="57"/>
      <c r="H130" s="57"/>
      <c r="I130" s="135"/>
      <c r="J130" s="135"/>
      <c r="K130" s="57"/>
      <c r="L130" s="58"/>
      <c r="M130" s="58"/>
      <c r="N130" s="69"/>
    </row>
    <row r="131" spans="1:14" x14ac:dyDescent="0.25">
      <c r="A131" s="57"/>
      <c r="B131" s="57"/>
      <c r="C131" s="57"/>
      <c r="D131" s="57"/>
      <c r="E131" s="57"/>
      <c r="F131" s="57"/>
      <c r="G131" s="57"/>
      <c r="H131" s="57"/>
      <c r="I131" s="135"/>
      <c r="J131" s="135"/>
      <c r="K131" s="57"/>
      <c r="L131" s="58"/>
      <c r="M131" s="58"/>
      <c r="N131" s="69"/>
    </row>
    <row r="132" spans="1:14" x14ac:dyDescent="0.25">
      <c r="A132" s="57"/>
      <c r="B132" s="57"/>
      <c r="C132" s="57"/>
      <c r="D132" s="57"/>
      <c r="E132" s="57"/>
      <c r="F132" s="57"/>
      <c r="G132" s="57"/>
      <c r="H132" s="57"/>
      <c r="I132" s="135"/>
      <c r="J132" s="135"/>
      <c r="K132" s="57"/>
      <c r="L132" s="58"/>
      <c r="M132" s="58"/>
      <c r="N132" s="69"/>
    </row>
    <row r="133" spans="1:14" x14ac:dyDescent="0.25">
      <c r="A133" s="57"/>
      <c r="B133" s="57"/>
      <c r="C133" s="57"/>
      <c r="D133" s="57"/>
      <c r="E133" s="57"/>
      <c r="F133" s="57"/>
      <c r="G133" s="57"/>
      <c r="H133" s="57"/>
      <c r="I133" s="135"/>
      <c r="J133" s="135"/>
      <c r="K133" s="57"/>
      <c r="L133" s="58"/>
      <c r="M133" s="58"/>
      <c r="N133" s="69"/>
    </row>
    <row r="134" spans="1:14" x14ac:dyDescent="0.25">
      <c r="A134" s="57"/>
      <c r="B134" s="57"/>
      <c r="C134" s="57"/>
      <c r="D134" s="57"/>
      <c r="E134" s="57"/>
      <c r="F134" s="57"/>
      <c r="G134" s="57"/>
      <c r="H134" s="57"/>
      <c r="I134" s="135"/>
      <c r="J134" s="135"/>
      <c r="K134" s="57"/>
      <c r="L134" s="58"/>
      <c r="M134" s="58"/>
      <c r="N134" s="69"/>
    </row>
    <row r="135" spans="1:14" x14ac:dyDescent="0.25">
      <c r="A135" s="57"/>
      <c r="B135" s="57"/>
      <c r="C135" s="57"/>
      <c r="D135" s="57"/>
      <c r="E135" s="57"/>
      <c r="F135" s="57"/>
      <c r="G135" s="57"/>
      <c r="H135" s="57"/>
      <c r="I135" s="135"/>
      <c r="J135" s="135"/>
      <c r="K135" s="57"/>
      <c r="L135" s="58"/>
      <c r="M135" s="58"/>
      <c r="N135" s="69"/>
    </row>
    <row r="136" spans="1:14" x14ac:dyDescent="0.25">
      <c r="A136" s="57"/>
      <c r="B136" s="57"/>
      <c r="C136" s="57"/>
      <c r="D136" s="57"/>
      <c r="E136" s="57"/>
      <c r="F136" s="57"/>
      <c r="G136" s="57"/>
      <c r="H136" s="57"/>
      <c r="I136" s="135"/>
      <c r="J136" s="135"/>
      <c r="K136" s="57"/>
      <c r="L136" s="58"/>
      <c r="M136" s="58"/>
      <c r="N136" s="69"/>
    </row>
    <row r="137" spans="1:14" x14ac:dyDescent="0.25">
      <c r="A137" s="57"/>
      <c r="B137" s="57"/>
      <c r="C137" s="57"/>
      <c r="D137" s="57"/>
      <c r="E137" s="57"/>
      <c r="F137" s="57"/>
      <c r="G137" s="57"/>
      <c r="H137" s="57"/>
      <c r="I137" s="135"/>
      <c r="J137" s="135"/>
      <c r="K137" s="57"/>
      <c r="L137" s="58"/>
      <c r="M137" s="58"/>
      <c r="N137" s="69"/>
    </row>
    <row r="138" spans="1:14" x14ac:dyDescent="0.25">
      <c r="A138" s="57"/>
      <c r="B138" s="57"/>
      <c r="C138" s="57"/>
      <c r="D138" s="57"/>
      <c r="E138" s="57"/>
      <c r="F138" s="57"/>
      <c r="G138" s="57"/>
      <c r="H138" s="57"/>
      <c r="I138" s="135"/>
      <c r="J138" s="135"/>
      <c r="K138" s="57"/>
      <c r="L138" s="58"/>
      <c r="M138" s="58"/>
      <c r="N138" s="69"/>
    </row>
    <row r="139" spans="1:14" x14ac:dyDescent="0.25">
      <c r="A139" s="57"/>
      <c r="B139" s="57"/>
      <c r="C139" s="57"/>
      <c r="D139" s="57"/>
      <c r="E139" s="57"/>
      <c r="F139" s="57"/>
      <c r="G139" s="57"/>
      <c r="H139" s="57"/>
      <c r="I139" s="135"/>
      <c r="J139" s="135"/>
      <c r="K139" s="57"/>
      <c r="L139" s="58"/>
      <c r="M139" s="58"/>
      <c r="N139" s="69"/>
    </row>
    <row r="140" spans="1:14" x14ac:dyDescent="0.25">
      <c r="A140" s="57"/>
      <c r="B140" s="57"/>
      <c r="C140" s="57"/>
      <c r="D140" s="57"/>
      <c r="E140" s="57"/>
      <c r="F140" s="57"/>
      <c r="G140" s="57"/>
      <c r="H140" s="57"/>
      <c r="I140" s="135"/>
      <c r="J140" s="135"/>
      <c r="K140" s="57"/>
      <c r="L140" s="58"/>
      <c r="M140" s="58"/>
      <c r="N140" s="69"/>
    </row>
    <row r="141" spans="1:14" x14ac:dyDescent="0.25">
      <c r="A141" s="57"/>
      <c r="B141" s="57"/>
      <c r="C141" s="57"/>
      <c r="D141" s="57"/>
      <c r="E141" s="57"/>
      <c r="F141" s="57"/>
      <c r="G141" s="57"/>
      <c r="H141" s="57"/>
      <c r="I141" s="135"/>
      <c r="J141" s="135"/>
      <c r="K141" s="57"/>
      <c r="L141" s="58"/>
      <c r="M141" s="58"/>
      <c r="N141" s="69"/>
    </row>
    <row r="142" spans="1:14" x14ac:dyDescent="0.25">
      <c r="A142" s="57"/>
      <c r="B142" s="57"/>
      <c r="C142" s="57"/>
      <c r="D142" s="57"/>
      <c r="E142" s="57"/>
      <c r="F142" s="57"/>
      <c r="G142" s="57"/>
      <c r="H142" s="57"/>
      <c r="I142" s="135"/>
      <c r="J142" s="135"/>
      <c r="K142" s="57"/>
      <c r="L142" s="58"/>
      <c r="M142" s="58"/>
      <c r="N142" s="69"/>
    </row>
    <row r="143" spans="1:14" x14ac:dyDescent="0.25">
      <c r="A143" s="57"/>
      <c r="B143" s="57"/>
      <c r="C143" s="57"/>
      <c r="D143" s="57"/>
      <c r="E143" s="57"/>
      <c r="F143" s="57"/>
      <c r="G143" s="57"/>
      <c r="H143" s="57"/>
      <c r="I143" s="135"/>
      <c r="J143" s="135"/>
      <c r="K143" s="57"/>
      <c r="L143" s="58"/>
      <c r="M143" s="58"/>
      <c r="N143" s="69"/>
    </row>
    <row r="144" spans="1:14" x14ac:dyDescent="0.25">
      <c r="A144" s="57"/>
      <c r="B144" s="57"/>
      <c r="C144" s="57"/>
      <c r="D144" s="57"/>
      <c r="E144" s="57"/>
      <c r="F144" s="57"/>
      <c r="G144" s="57"/>
      <c r="H144" s="57"/>
      <c r="I144" s="135"/>
      <c r="J144" s="135"/>
      <c r="K144" s="57"/>
      <c r="L144" s="58"/>
      <c r="M144" s="58"/>
      <c r="N144" s="69"/>
    </row>
    <row r="145" spans="1:14" x14ac:dyDescent="0.25">
      <c r="A145" s="57"/>
      <c r="B145" s="57"/>
      <c r="C145" s="57"/>
      <c r="D145" s="57"/>
      <c r="E145" s="57"/>
      <c r="F145" s="57"/>
      <c r="G145" s="57"/>
      <c r="H145" s="57"/>
      <c r="I145" s="135"/>
      <c r="J145" s="135"/>
      <c r="K145" s="57"/>
      <c r="L145" s="58"/>
      <c r="M145" s="58"/>
      <c r="N145" s="69"/>
    </row>
    <row r="146" spans="1:14" x14ac:dyDescent="0.25">
      <c r="A146" s="57"/>
      <c r="B146" s="57"/>
      <c r="C146" s="57"/>
      <c r="D146" s="57"/>
      <c r="E146" s="57"/>
      <c r="F146" s="57"/>
      <c r="G146" s="57"/>
      <c r="H146" s="57"/>
      <c r="I146" s="135"/>
      <c r="J146" s="135"/>
      <c r="K146" s="57"/>
      <c r="L146" s="58"/>
      <c r="M146" s="58"/>
      <c r="N146" s="69"/>
    </row>
    <row r="147" spans="1:14" x14ac:dyDescent="0.25">
      <c r="A147" s="57"/>
      <c r="B147" s="57"/>
      <c r="C147" s="57"/>
      <c r="D147" s="57"/>
      <c r="E147" s="57"/>
      <c r="F147" s="57"/>
      <c r="G147" s="57"/>
      <c r="H147" s="57"/>
      <c r="I147" s="135"/>
      <c r="J147" s="135"/>
      <c r="K147" s="57"/>
      <c r="L147" s="58"/>
      <c r="M147" s="58"/>
      <c r="N147" s="69"/>
    </row>
    <row r="148" spans="1:14" x14ac:dyDescent="0.25">
      <c r="A148" s="57"/>
      <c r="B148" s="57"/>
      <c r="C148" s="57"/>
      <c r="D148" s="57"/>
      <c r="E148" s="57"/>
      <c r="F148" s="57"/>
      <c r="G148" s="57"/>
      <c r="H148" s="57"/>
      <c r="I148" s="135"/>
      <c r="J148" s="135"/>
      <c r="K148" s="57"/>
      <c r="L148" s="58"/>
      <c r="M148" s="58"/>
      <c r="N148" s="69"/>
    </row>
    <row r="149" spans="1:14" x14ac:dyDescent="0.25">
      <c r="A149" s="57"/>
      <c r="B149" s="57"/>
      <c r="C149" s="57"/>
      <c r="D149" s="57"/>
      <c r="E149" s="57"/>
      <c r="F149" s="57"/>
      <c r="G149" s="57"/>
      <c r="H149" s="57"/>
      <c r="I149" s="135"/>
      <c r="J149" s="135"/>
      <c r="K149" s="57"/>
      <c r="L149" s="58"/>
      <c r="M149" s="58"/>
      <c r="N149" s="69"/>
    </row>
    <row r="150" spans="1:14" x14ac:dyDescent="0.25">
      <c r="A150" s="57"/>
      <c r="B150" s="57"/>
      <c r="C150" s="57"/>
      <c r="D150" s="57"/>
      <c r="E150" s="57"/>
      <c r="F150" s="57"/>
      <c r="G150" s="57"/>
      <c r="H150" s="57"/>
      <c r="I150" s="135"/>
      <c r="J150" s="135"/>
      <c r="K150" s="57"/>
      <c r="L150" s="58"/>
      <c r="M150" s="58"/>
      <c r="N150" s="69"/>
    </row>
    <row r="151" spans="1:14" x14ac:dyDescent="0.25">
      <c r="A151" s="57"/>
      <c r="B151" s="57"/>
      <c r="C151" s="57"/>
      <c r="D151" s="57"/>
      <c r="E151" s="57"/>
      <c r="F151" s="57"/>
      <c r="G151" s="57"/>
      <c r="H151" s="57"/>
      <c r="I151" s="135"/>
      <c r="J151" s="135"/>
      <c r="K151" s="57"/>
      <c r="L151" s="58"/>
      <c r="M151" s="58"/>
      <c r="N151" s="69"/>
    </row>
    <row r="152" spans="1:14" x14ac:dyDescent="0.25">
      <c r="A152" s="57"/>
      <c r="B152" s="57"/>
      <c r="C152" s="57"/>
      <c r="D152" s="57"/>
      <c r="E152" s="57"/>
      <c r="F152" s="57"/>
      <c r="G152" s="57"/>
      <c r="H152" s="57"/>
      <c r="I152" s="135"/>
      <c r="J152" s="135"/>
      <c r="K152" s="57"/>
      <c r="L152" s="58"/>
      <c r="M152" s="58"/>
      <c r="N152" s="69"/>
    </row>
    <row r="153" spans="1:14" x14ac:dyDescent="0.25">
      <c r="A153" s="57"/>
      <c r="B153" s="57"/>
      <c r="C153" s="57"/>
      <c r="D153" s="57"/>
      <c r="E153" s="57"/>
      <c r="F153" s="57"/>
      <c r="G153" s="57"/>
      <c r="H153" s="57"/>
      <c r="I153" s="135"/>
      <c r="J153" s="135"/>
      <c r="K153" s="57"/>
      <c r="L153" s="58"/>
      <c r="M153" s="58"/>
      <c r="N153" s="69"/>
    </row>
    <row r="154" spans="1:14" x14ac:dyDescent="0.25">
      <c r="A154" s="57"/>
      <c r="B154" s="57"/>
      <c r="C154" s="57"/>
      <c r="D154" s="57"/>
      <c r="E154" s="57"/>
      <c r="F154" s="57"/>
      <c r="G154" s="57"/>
      <c r="H154" s="57"/>
      <c r="I154" s="135"/>
      <c r="J154" s="135"/>
      <c r="K154" s="57"/>
      <c r="L154" s="58"/>
      <c r="M154" s="58"/>
      <c r="N154" s="69"/>
    </row>
    <row r="155" spans="1:14" x14ac:dyDescent="0.25">
      <c r="A155" s="57"/>
      <c r="B155" s="57"/>
      <c r="C155" s="57"/>
      <c r="D155" s="57"/>
      <c r="E155" s="57"/>
      <c r="F155" s="57"/>
      <c r="G155" s="57"/>
      <c r="H155" s="57"/>
      <c r="I155" s="135"/>
      <c r="J155" s="135"/>
      <c r="K155" s="57"/>
      <c r="L155" s="58"/>
      <c r="M155" s="58"/>
      <c r="N155" s="69"/>
    </row>
    <row r="156" spans="1:14" x14ac:dyDescent="0.25">
      <c r="A156" s="57"/>
      <c r="B156" s="57"/>
      <c r="C156" s="57"/>
      <c r="D156" s="57"/>
      <c r="E156" s="57"/>
      <c r="F156" s="57"/>
      <c r="G156" s="57"/>
      <c r="H156" s="57"/>
      <c r="I156" s="135"/>
      <c r="J156" s="135"/>
      <c r="K156" s="57"/>
      <c r="L156" s="58"/>
      <c r="M156" s="58"/>
      <c r="N156" s="69"/>
    </row>
    <row r="157" spans="1:14" x14ac:dyDescent="0.25">
      <c r="A157" s="57"/>
      <c r="B157" s="57"/>
      <c r="C157" s="57"/>
      <c r="D157" s="57"/>
      <c r="E157" s="57"/>
      <c r="F157" s="57"/>
      <c r="G157" s="57"/>
      <c r="H157" s="57"/>
      <c r="I157" s="135"/>
      <c r="J157" s="135"/>
      <c r="K157" s="57"/>
      <c r="L157" s="58"/>
      <c r="M157" s="58"/>
      <c r="N157" s="69"/>
    </row>
    <row r="158" spans="1:14" x14ac:dyDescent="0.25">
      <c r="A158" s="57"/>
      <c r="B158" s="57"/>
      <c r="C158" s="57"/>
      <c r="D158" s="57"/>
      <c r="E158" s="57"/>
      <c r="F158" s="57"/>
      <c r="G158" s="57"/>
      <c r="H158" s="57"/>
      <c r="I158" s="135"/>
      <c r="J158" s="135"/>
      <c r="K158" s="57"/>
      <c r="L158" s="58"/>
      <c r="M158" s="58"/>
      <c r="N158" s="69"/>
    </row>
    <row r="159" spans="1:14" x14ac:dyDescent="0.25">
      <c r="A159" s="57"/>
      <c r="B159" s="57"/>
      <c r="C159" s="57"/>
      <c r="D159" s="57"/>
      <c r="E159" s="57"/>
      <c r="F159" s="57"/>
      <c r="G159" s="57"/>
      <c r="H159" s="57"/>
      <c r="I159" s="135"/>
      <c r="J159" s="135"/>
      <c r="K159" s="57"/>
      <c r="L159" s="58"/>
      <c r="M159" s="58"/>
      <c r="N159" s="69"/>
    </row>
    <row r="160" spans="1:14" x14ac:dyDescent="0.25">
      <c r="A160" s="57"/>
      <c r="B160" s="57"/>
      <c r="C160" s="57"/>
      <c r="D160" s="57"/>
      <c r="E160" s="57"/>
      <c r="F160" s="57"/>
      <c r="G160" s="57"/>
      <c r="H160" s="57"/>
      <c r="I160" s="135"/>
      <c r="J160" s="135"/>
      <c r="K160" s="57"/>
      <c r="L160" s="58"/>
      <c r="M160" s="58"/>
      <c r="N160" s="69"/>
    </row>
    <row r="161" spans="1:14" x14ac:dyDescent="0.25">
      <c r="A161" s="57"/>
      <c r="B161" s="57"/>
      <c r="C161" s="57"/>
      <c r="D161" s="57"/>
      <c r="E161" s="57"/>
      <c r="F161" s="57"/>
      <c r="G161" s="57"/>
      <c r="H161" s="57"/>
      <c r="I161" s="135"/>
      <c r="J161" s="135"/>
      <c r="K161" s="57"/>
      <c r="L161" s="58"/>
      <c r="M161" s="58"/>
      <c r="N161" s="69"/>
    </row>
    <row r="162" spans="1:14" x14ac:dyDescent="0.25">
      <c r="A162" s="57"/>
      <c r="B162" s="57"/>
      <c r="C162" s="57"/>
      <c r="D162" s="57"/>
      <c r="E162" s="57"/>
      <c r="F162" s="57"/>
      <c r="G162" s="57"/>
      <c r="H162" s="57"/>
      <c r="I162" s="135"/>
      <c r="J162" s="135"/>
      <c r="K162" s="57"/>
      <c r="L162" s="58"/>
      <c r="M162" s="58"/>
      <c r="N162" s="69"/>
    </row>
    <row r="163" spans="1:14" x14ac:dyDescent="0.25">
      <c r="A163" s="57"/>
      <c r="B163" s="57"/>
      <c r="C163" s="57"/>
      <c r="D163" s="57"/>
      <c r="E163" s="57"/>
      <c r="F163" s="57"/>
      <c r="G163" s="57"/>
      <c r="H163" s="57"/>
      <c r="I163" s="135"/>
      <c r="J163" s="135"/>
      <c r="K163" s="57"/>
      <c r="L163" s="58"/>
      <c r="M163" s="58"/>
      <c r="N163" s="69"/>
    </row>
    <row r="164" spans="1:14" x14ac:dyDescent="0.25">
      <c r="A164" s="57"/>
      <c r="B164" s="57"/>
      <c r="C164" s="57"/>
      <c r="D164" s="57"/>
      <c r="E164" s="57"/>
      <c r="F164" s="57"/>
      <c r="G164" s="57"/>
      <c r="H164" s="57"/>
      <c r="I164" s="135"/>
      <c r="J164" s="135"/>
      <c r="K164" s="57"/>
      <c r="L164" s="58"/>
      <c r="M164" s="58"/>
      <c r="N164" s="69"/>
    </row>
    <row r="165" spans="1:14" x14ac:dyDescent="0.25">
      <c r="A165" s="57"/>
      <c r="B165" s="57"/>
      <c r="C165" s="57"/>
      <c r="D165" s="57"/>
      <c r="E165" s="57"/>
      <c r="F165" s="57"/>
      <c r="G165" s="57"/>
      <c r="H165" s="57"/>
      <c r="I165" s="135"/>
      <c r="J165" s="135"/>
      <c r="K165" s="57"/>
      <c r="L165" s="58"/>
      <c r="M165" s="58"/>
      <c r="N165" s="69"/>
    </row>
    <row r="166" spans="1:14" x14ac:dyDescent="0.25">
      <c r="A166" s="57"/>
      <c r="B166" s="57"/>
      <c r="C166" s="57"/>
      <c r="D166" s="57"/>
      <c r="E166" s="57"/>
      <c r="F166" s="57"/>
      <c r="G166" s="57"/>
      <c r="H166" s="57"/>
      <c r="I166" s="135"/>
      <c r="J166" s="135"/>
      <c r="K166" s="57"/>
      <c r="L166" s="58"/>
      <c r="M166" s="58"/>
      <c r="N166" s="69"/>
    </row>
    <row r="167" spans="1:14" x14ac:dyDescent="0.25">
      <c r="A167" s="57"/>
      <c r="B167" s="57"/>
      <c r="C167" s="57"/>
      <c r="D167" s="57"/>
      <c r="E167" s="57"/>
      <c r="F167" s="57"/>
      <c r="G167" s="57"/>
      <c r="H167" s="57"/>
      <c r="I167" s="135"/>
      <c r="J167" s="135"/>
      <c r="K167" s="57"/>
      <c r="L167" s="58"/>
      <c r="M167" s="58"/>
      <c r="N167" s="69"/>
    </row>
    <row r="168" spans="1:14" x14ac:dyDescent="0.25">
      <c r="A168" s="57"/>
      <c r="B168" s="57"/>
      <c r="C168" s="57"/>
      <c r="D168" s="57"/>
      <c r="E168" s="57"/>
      <c r="F168" s="57"/>
      <c r="G168" s="57"/>
      <c r="H168" s="57"/>
      <c r="I168" s="135"/>
      <c r="J168" s="135"/>
      <c r="K168" s="57"/>
      <c r="L168" s="58"/>
      <c r="M168" s="58"/>
      <c r="N168" s="69"/>
    </row>
    <row r="169" spans="1:14" x14ac:dyDescent="0.25">
      <c r="A169" s="57"/>
      <c r="B169" s="57"/>
      <c r="C169" s="57"/>
      <c r="D169" s="57"/>
      <c r="E169" s="57"/>
      <c r="F169" s="57"/>
      <c r="G169" s="57"/>
      <c r="H169" s="57"/>
      <c r="I169" s="135"/>
      <c r="J169" s="135"/>
      <c r="K169" s="57"/>
      <c r="L169" s="58"/>
      <c r="M169" s="58"/>
      <c r="N169" s="69"/>
    </row>
    <row r="170" spans="1:14" x14ac:dyDescent="0.25">
      <c r="A170" s="57"/>
      <c r="B170" s="57"/>
      <c r="C170" s="57"/>
      <c r="D170" s="57"/>
      <c r="E170" s="57"/>
      <c r="F170" s="57"/>
      <c r="G170" s="57"/>
      <c r="H170" s="57"/>
      <c r="I170" s="135"/>
      <c r="J170" s="135"/>
      <c r="K170" s="57"/>
      <c r="L170" s="58"/>
      <c r="M170" s="58"/>
      <c r="N170" s="69"/>
    </row>
    <row r="171" spans="1:14" x14ac:dyDescent="0.25">
      <c r="A171" s="57"/>
      <c r="B171" s="57"/>
      <c r="C171" s="57"/>
      <c r="D171" s="57"/>
      <c r="E171" s="57"/>
      <c r="F171" s="57"/>
      <c r="G171" s="57"/>
      <c r="H171" s="57"/>
      <c r="I171" s="135"/>
      <c r="J171" s="135"/>
      <c r="K171" s="57"/>
      <c r="L171" s="58"/>
      <c r="M171" s="58"/>
      <c r="N171" s="69"/>
    </row>
    <row r="172" spans="1:14" x14ac:dyDescent="0.25">
      <c r="A172" s="57"/>
      <c r="B172" s="57"/>
      <c r="C172" s="57"/>
      <c r="D172" s="57"/>
      <c r="E172" s="57"/>
      <c r="F172" s="57"/>
      <c r="G172" s="57"/>
      <c r="H172" s="57"/>
      <c r="I172" s="135"/>
      <c r="J172" s="135"/>
      <c r="K172" s="57"/>
      <c r="L172" s="58"/>
      <c r="M172" s="58"/>
      <c r="N172" s="69"/>
    </row>
    <row r="173" spans="1:14" x14ac:dyDescent="0.25">
      <c r="A173" s="57"/>
      <c r="B173" s="57"/>
      <c r="C173" s="57"/>
      <c r="D173" s="57"/>
      <c r="E173" s="57"/>
      <c r="F173" s="57"/>
      <c r="G173" s="57"/>
      <c r="H173" s="57"/>
      <c r="I173" s="135"/>
      <c r="J173" s="135"/>
      <c r="K173" s="57"/>
      <c r="L173" s="58"/>
      <c r="M173" s="58"/>
      <c r="N173" s="69"/>
    </row>
    <row r="174" spans="1:14" x14ac:dyDescent="0.25">
      <c r="A174" s="57"/>
      <c r="B174" s="57"/>
      <c r="C174" s="57"/>
      <c r="D174" s="57"/>
      <c r="E174" s="57"/>
      <c r="F174" s="57"/>
      <c r="G174" s="57"/>
      <c r="H174" s="57"/>
      <c r="I174" s="135"/>
      <c r="J174" s="135"/>
      <c r="K174" s="57"/>
      <c r="L174" s="58"/>
      <c r="M174" s="58"/>
      <c r="N174" s="69"/>
    </row>
    <row r="175" spans="1:14" x14ac:dyDescent="0.25">
      <c r="A175" s="57"/>
      <c r="B175" s="57"/>
      <c r="C175" s="57"/>
      <c r="D175" s="57"/>
      <c r="E175" s="57"/>
      <c r="F175" s="57"/>
      <c r="G175" s="57"/>
      <c r="H175" s="57"/>
      <c r="I175" s="135"/>
      <c r="J175" s="135"/>
      <c r="K175" s="57"/>
      <c r="L175" s="58"/>
      <c r="M175" s="58"/>
      <c r="N175" s="69"/>
    </row>
    <row r="176" spans="1:14" x14ac:dyDescent="0.25">
      <c r="A176" s="57"/>
      <c r="B176" s="57"/>
      <c r="C176" s="57"/>
      <c r="D176" s="57"/>
      <c r="E176" s="57"/>
      <c r="F176" s="57"/>
      <c r="G176" s="57"/>
      <c r="H176" s="57"/>
      <c r="I176" s="135"/>
      <c r="J176" s="135"/>
      <c r="K176" s="57"/>
      <c r="L176" s="58"/>
      <c r="M176" s="58"/>
      <c r="N176" s="69"/>
    </row>
    <row r="177" spans="1:14" x14ac:dyDescent="0.25">
      <c r="A177" s="57"/>
      <c r="B177" s="57"/>
      <c r="C177" s="57"/>
      <c r="D177" s="57"/>
      <c r="E177" s="57"/>
      <c r="F177" s="57"/>
      <c r="G177" s="57"/>
      <c r="H177" s="57"/>
      <c r="I177" s="135"/>
      <c r="J177" s="135"/>
      <c r="K177" s="57"/>
      <c r="L177" s="58"/>
      <c r="M177" s="58"/>
      <c r="N177" s="69"/>
    </row>
    <row r="178" spans="1:14" x14ac:dyDescent="0.25">
      <c r="A178" s="57"/>
      <c r="B178" s="57"/>
      <c r="C178" s="57"/>
      <c r="D178" s="57"/>
      <c r="E178" s="57"/>
      <c r="F178" s="57"/>
      <c r="G178" s="57"/>
      <c r="H178" s="57"/>
      <c r="I178" s="135"/>
      <c r="J178" s="135"/>
      <c r="K178" s="57"/>
      <c r="L178" s="58"/>
      <c r="M178" s="58"/>
      <c r="N178" s="69"/>
    </row>
    <row r="179" spans="1:14" x14ac:dyDescent="0.25">
      <c r="A179" s="57"/>
      <c r="B179" s="57"/>
      <c r="C179" s="57"/>
      <c r="D179" s="57"/>
      <c r="E179" s="57"/>
      <c r="F179" s="57"/>
      <c r="G179" s="57"/>
      <c r="H179" s="57"/>
      <c r="I179" s="135"/>
      <c r="J179" s="135"/>
      <c r="K179" s="57"/>
      <c r="L179" s="58"/>
      <c r="M179" s="58"/>
      <c r="N179" s="69"/>
    </row>
    <row r="180" spans="1:14" x14ac:dyDescent="0.25">
      <c r="A180" s="57"/>
      <c r="B180" s="57"/>
      <c r="C180" s="57"/>
      <c r="D180" s="57"/>
      <c r="E180" s="57"/>
      <c r="F180" s="57"/>
      <c r="G180" s="57"/>
      <c r="H180" s="57"/>
      <c r="I180" s="135"/>
      <c r="J180" s="135"/>
      <c r="K180" s="57"/>
      <c r="L180" s="58"/>
      <c r="M180" s="58"/>
      <c r="N180" s="69"/>
    </row>
    <row r="181" spans="1:14" x14ac:dyDescent="0.25">
      <c r="A181" s="57"/>
      <c r="B181" s="57"/>
      <c r="C181" s="57"/>
      <c r="D181" s="57"/>
      <c r="E181" s="57"/>
      <c r="F181" s="57"/>
      <c r="G181" s="57"/>
      <c r="H181" s="57"/>
      <c r="I181" s="135"/>
      <c r="J181" s="135"/>
      <c r="K181" s="57"/>
      <c r="L181" s="58"/>
      <c r="M181" s="58"/>
      <c r="N181" s="69"/>
    </row>
    <row r="182" spans="1:14" x14ac:dyDescent="0.25">
      <c r="A182" s="57"/>
      <c r="B182" s="57"/>
      <c r="C182" s="57"/>
      <c r="D182" s="57"/>
      <c r="E182" s="57"/>
      <c r="F182" s="57"/>
      <c r="G182" s="57"/>
      <c r="H182" s="57"/>
      <c r="I182" s="135"/>
      <c r="J182" s="135"/>
      <c r="K182" s="57"/>
      <c r="L182" s="58"/>
      <c r="M182" s="58"/>
      <c r="N182" s="69"/>
    </row>
    <row r="183" spans="1:14" x14ac:dyDescent="0.25">
      <c r="A183" s="57"/>
      <c r="B183" s="57"/>
      <c r="C183" s="57"/>
      <c r="D183" s="57"/>
      <c r="E183" s="57"/>
      <c r="F183" s="57"/>
      <c r="G183" s="57"/>
      <c r="H183" s="57"/>
      <c r="I183" s="135"/>
      <c r="J183" s="135"/>
      <c r="K183" s="57"/>
      <c r="L183" s="58"/>
      <c r="M183" s="58"/>
      <c r="N183" s="69"/>
    </row>
    <row r="184" spans="1:14" x14ac:dyDescent="0.25">
      <c r="A184" s="57"/>
      <c r="B184" s="57"/>
      <c r="C184" s="57"/>
      <c r="D184" s="57"/>
      <c r="E184" s="57"/>
      <c r="F184" s="57"/>
      <c r="G184" s="57"/>
      <c r="H184" s="57"/>
      <c r="I184" s="135"/>
      <c r="J184" s="135"/>
      <c r="K184" s="57"/>
      <c r="L184" s="58"/>
      <c r="M184" s="58"/>
      <c r="N184" s="69"/>
    </row>
    <row r="185" spans="1:14" x14ac:dyDescent="0.25">
      <c r="A185" s="57"/>
      <c r="B185" s="57"/>
      <c r="C185" s="57"/>
      <c r="D185" s="57"/>
      <c r="E185" s="57"/>
      <c r="F185" s="57"/>
      <c r="G185" s="57"/>
      <c r="H185" s="57"/>
      <c r="I185" s="135"/>
      <c r="J185" s="135"/>
      <c r="K185" s="57"/>
      <c r="L185" s="58"/>
      <c r="M185" s="58"/>
      <c r="N185" s="69"/>
    </row>
    <row r="186" spans="1:14" x14ac:dyDescent="0.25">
      <c r="A186" s="57"/>
      <c r="B186" s="57"/>
      <c r="C186" s="57"/>
      <c r="D186" s="57"/>
      <c r="E186" s="57"/>
      <c r="F186" s="57"/>
      <c r="G186" s="57"/>
      <c r="H186" s="57"/>
      <c r="I186" s="135"/>
      <c r="J186" s="135"/>
      <c r="K186" s="57"/>
      <c r="L186" s="58"/>
      <c r="M186" s="58"/>
      <c r="N186" s="69"/>
    </row>
    <row r="187" spans="1:14" x14ac:dyDescent="0.25">
      <c r="A187" s="57"/>
      <c r="B187" s="57"/>
      <c r="C187" s="57"/>
      <c r="D187" s="57"/>
      <c r="E187" s="57"/>
      <c r="F187" s="57"/>
      <c r="G187" s="57"/>
      <c r="H187" s="57"/>
      <c r="I187" s="135"/>
      <c r="J187" s="135"/>
      <c r="K187" s="57"/>
      <c r="L187" s="58"/>
      <c r="M187" s="58"/>
      <c r="N187" s="69"/>
    </row>
    <row r="188" spans="1:14" x14ac:dyDescent="0.25">
      <c r="A188" s="57"/>
      <c r="B188" s="57"/>
      <c r="C188" s="57"/>
      <c r="D188" s="57"/>
      <c r="E188" s="57"/>
      <c r="F188" s="57"/>
      <c r="G188" s="57"/>
      <c r="H188" s="57"/>
      <c r="I188" s="135"/>
      <c r="J188" s="135"/>
      <c r="K188" s="57"/>
      <c r="L188" s="58"/>
      <c r="M188" s="58"/>
      <c r="N188" s="69"/>
    </row>
    <row r="189" spans="1:14" x14ac:dyDescent="0.25">
      <c r="A189" s="57"/>
      <c r="B189" s="57"/>
      <c r="C189" s="57"/>
      <c r="D189" s="57"/>
      <c r="E189" s="57"/>
      <c r="F189" s="57"/>
      <c r="G189" s="57"/>
      <c r="H189" s="57"/>
      <c r="I189" s="135"/>
      <c r="J189" s="135"/>
      <c r="K189" s="57"/>
      <c r="L189" s="58"/>
      <c r="M189" s="58"/>
      <c r="N189" s="69"/>
    </row>
    <row r="190" spans="1:14" x14ac:dyDescent="0.25">
      <c r="A190" s="57"/>
      <c r="B190" s="57"/>
      <c r="C190" s="57"/>
      <c r="D190" s="57"/>
      <c r="E190" s="57"/>
      <c r="F190" s="57"/>
      <c r="G190" s="57"/>
      <c r="H190" s="57"/>
      <c r="I190" s="135"/>
      <c r="J190" s="135"/>
      <c r="K190" s="57"/>
      <c r="L190" s="58"/>
      <c r="M190" s="58"/>
      <c r="N190" s="69"/>
    </row>
    <row r="191" spans="1:14" x14ac:dyDescent="0.25">
      <c r="A191" s="57"/>
      <c r="B191" s="57"/>
      <c r="C191" s="57"/>
      <c r="D191" s="57"/>
      <c r="E191" s="57"/>
      <c r="F191" s="57"/>
      <c r="G191" s="57"/>
      <c r="H191" s="57"/>
      <c r="I191" s="135"/>
      <c r="J191" s="135"/>
      <c r="K191" s="57"/>
      <c r="L191" s="58"/>
      <c r="M191" s="58"/>
      <c r="N191" s="69"/>
    </row>
    <row r="192" spans="1:14" x14ac:dyDescent="0.25">
      <c r="A192" s="57"/>
      <c r="B192" s="57"/>
      <c r="C192" s="57"/>
      <c r="D192" s="57"/>
      <c r="E192" s="57"/>
      <c r="F192" s="57"/>
      <c r="G192" s="57"/>
      <c r="H192" s="57"/>
      <c r="I192" s="135"/>
      <c r="J192" s="135"/>
      <c r="K192" s="57"/>
      <c r="L192" s="58"/>
      <c r="M192" s="58"/>
      <c r="N192" s="69"/>
    </row>
    <row r="193" spans="1:14" x14ac:dyDescent="0.25">
      <c r="A193" s="57"/>
      <c r="B193" s="57"/>
      <c r="C193" s="57"/>
      <c r="D193" s="57"/>
      <c r="E193" s="57"/>
      <c r="F193" s="57"/>
      <c r="G193" s="57"/>
      <c r="H193" s="57"/>
      <c r="I193" s="135"/>
      <c r="J193" s="135"/>
      <c r="K193" s="57"/>
      <c r="L193" s="58"/>
      <c r="M193" s="58"/>
      <c r="N193" s="69"/>
    </row>
    <row r="194" spans="1:14" x14ac:dyDescent="0.25">
      <c r="A194" s="57"/>
      <c r="B194" s="57"/>
      <c r="C194" s="57"/>
      <c r="D194" s="57"/>
      <c r="E194" s="57"/>
      <c r="F194" s="57"/>
      <c r="G194" s="57"/>
      <c r="H194" s="57"/>
      <c r="I194" s="135"/>
      <c r="J194" s="135"/>
      <c r="K194" s="57"/>
      <c r="L194" s="58"/>
      <c r="M194" s="58"/>
      <c r="N194" s="69"/>
    </row>
    <row r="195" spans="1:14" x14ac:dyDescent="0.25">
      <c r="A195" s="57"/>
      <c r="B195" s="57"/>
      <c r="C195" s="57"/>
      <c r="D195" s="57"/>
      <c r="E195" s="57"/>
      <c r="F195" s="57"/>
      <c r="G195" s="57"/>
      <c r="H195" s="57"/>
      <c r="I195" s="135"/>
      <c r="J195" s="135"/>
      <c r="K195" s="57"/>
      <c r="L195" s="58"/>
      <c r="M195" s="58"/>
      <c r="N195" s="69"/>
    </row>
    <row r="196" spans="1:14" x14ac:dyDescent="0.25">
      <c r="A196" s="57"/>
      <c r="B196" s="57"/>
      <c r="C196" s="57"/>
      <c r="D196" s="57"/>
      <c r="E196" s="57"/>
      <c r="F196" s="57"/>
      <c r="G196" s="57"/>
      <c r="H196" s="57"/>
      <c r="I196" s="135"/>
      <c r="J196" s="135"/>
      <c r="K196" s="57"/>
      <c r="L196" s="58"/>
      <c r="M196" s="58"/>
      <c r="N196" s="69"/>
    </row>
    <row r="197" spans="1:14" x14ac:dyDescent="0.25">
      <c r="A197" s="57"/>
      <c r="B197" s="57"/>
      <c r="C197" s="57"/>
      <c r="D197" s="57"/>
      <c r="E197" s="57"/>
      <c r="F197" s="57"/>
      <c r="G197" s="57"/>
      <c r="H197" s="57"/>
      <c r="I197" s="135"/>
      <c r="J197" s="135"/>
      <c r="K197" s="57"/>
      <c r="L197" s="58"/>
      <c r="M197" s="58"/>
      <c r="N197" s="69"/>
    </row>
    <row r="198" spans="1:14" x14ac:dyDescent="0.25">
      <c r="A198" s="57"/>
      <c r="B198" s="57"/>
      <c r="C198" s="57"/>
      <c r="D198" s="57"/>
      <c r="E198" s="57"/>
      <c r="F198" s="57"/>
      <c r="G198" s="57"/>
      <c r="H198" s="57"/>
      <c r="I198" s="135"/>
      <c r="J198" s="135"/>
      <c r="K198" s="57"/>
      <c r="L198" s="58"/>
      <c r="M198" s="58"/>
      <c r="N198" s="69"/>
    </row>
    <row r="199" spans="1:14" x14ac:dyDescent="0.25">
      <c r="A199" s="57"/>
      <c r="B199" s="57"/>
      <c r="C199" s="57"/>
      <c r="D199" s="57"/>
      <c r="E199" s="57"/>
      <c r="F199" s="57"/>
      <c r="G199" s="57"/>
      <c r="H199" s="57"/>
      <c r="I199" s="135"/>
      <c r="J199" s="135"/>
      <c r="K199" s="57"/>
      <c r="L199" s="58"/>
      <c r="M199" s="58"/>
      <c r="N199" s="69"/>
    </row>
    <row r="200" spans="1:14" x14ac:dyDescent="0.25">
      <c r="A200" s="57"/>
      <c r="B200" s="57"/>
      <c r="C200" s="57"/>
      <c r="D200" s="57"/>
      <c r="E200" s="57"/>
      <c r="F200" s="57"/>
      <c r="G200" s="57"/>
      <c r="H200" s="57"/>
      <c r="I200" s="135"/>
      <c r="J200" s="135"/>
      <c r="K200" s="57"/>
      <c r="L200" s="58"/>
      <c r="M200" s="58"/>
      <c r="N200" s="69"/>
    </row>
    <row r="201" spans="1:14" x14ac:dyDescent="0.25">
      <c r="A201" s="57"/>
      <c r="B201" s="57"/>
      <c r="C201" s="57"/>
      <c r="D201" s="57"/>
      <c r="E201" s="57"/>
      <c r="F201" s="57"/>
      <c r="G201" s="57"/>
      <c r="H201" s="57"/>
      <c r="I201" s="135"/>
      <c r="J201" s="135"/>
      <c r="K201" s="57"/>
      <c r="L201" s="58"/>
      <c r="M201" s="58"/>
      <c r="N201" s="69"/>
    </row>
    <row r="202" spans="1:14" x14ac:dyDescent="0.25">
      <c r="A202" s="57"/>
      <c r="B202" s="57"/>
      <c r="C202" s="57"/>
      <c r="D202" s="57"/>
      <c r="E202" s="57"/>
      <c r="F202" s="57"/>
      <c r="G202" s="57"/>
      <c r="H202" s="57"/>
      <c r="I202" s="135"/>
      <c r="J202" s="135"/>
      <c r="K202" s="57"/>
      <c r="L202" s="58"/>
      <c r="M202" s="58"/>
      <c r="N202" s="69"/>
    </row>
    <row r="203" spans="1:14" x14ac:dyDescent="0.25">
      <c r="A203" s="57"/>
      <c r="B203" s="57"/>
      <c r="C203" s="57"/>
      <c r="D203" s="57"/>
      <c r="E203" s="57"/>
      <c r="F203" s="57"/>
      <c r="G203" s="57"/>
      <c r="H203" s="57"/>
      <c r="I203" s="135"/>
      <c r="J203" s="135"/>
      <c r="K203" s="57"/>
      <c r="L203" s="58"/>
      <c r="M203" s="58"/>
      <c r="N203" s="69"/>
    </row>
    <row r="204" spans="1:14" x14ac:dyDescent="0.25">
      <c r="A204" s="57"/>
      <c r="B204" s="57"/>
      <c r="C204" s="57"/>
      <c r="D204" s="57"/>
      <c r="E204" s="57"/>
      <c r="F204" s="57"/>
      <c r="G204" s="57"/>
      <c r="H204" s="57"/>
      <c r="I204" s="135"/>
      <c r="J204" s="135"/>
      <c r="K204" s="57"/>
      <c r="L204" s="58"/>
      <c r="M204" s="58"/>
      <c r="N204" s="69"/>
    </row>
    <row r="205" spans="1:14" x14ac:dyDescent="0.25">
      <c r="A205" s="57"/>
      <c r="B205" s="57"/>
      <c r="C205" s="57"/>
      <c r="D205" s="57"/>
      <c r="E205" s="57"/>
      <c r="F205" s="57"/>
      <c r="G205" s="57"/>
      <c r="H205" s="57"/>
      <c r="I205" s="135"/>
      <c r="J205" s="135"/>
      <c r="K205" s="57"/>
      <c r="L205" s="58"/>
      <c r="M205" s="58"/>
      <c r="N205" s="69"/>
    </row>
    <row r="206" spans="1:14" x14ac:dyDescent="0.25">
      <c r="A206" s="57"/>
      <c r="B206" s="57"/>
      <c r="C206" s="57"/>
      <c r="D206" s="57"/>
      <c r="E206" s="57"/>
      <c r="F206" s="57"/>
      <c r="G206" s="57"/>
      <c r="H206" s="57"/>
      <c r="I206" s="135"/>
      <c r="J206" s="135"/>
      <c r="K206" s="57"/>
      <c r="L206" s="58"/>
      <c r="M206" s="58"/>
      <c r="N206" s="69"/>
    </row>
    <row r="207" spans="1:14" x14ac:dyDescent="0.25">
      <c r="A207" s="57"/>
      <c r="B207" s="57"/>
      <c r="C207" s="57"/>
      <c r="D207" s="57"/>
      <c r="E207" s="57"/>
      <c r="F207" s="57"/>
      <c r="G207" s="57"/>
      <c r="H207" s="57"/>
      <c r="I207" s="135"/>
      <c r="J207" s="135"/>
      <c r="K207" s="57"/>
      <c r="L207" s="58"/>
      <c r="M207" s="58"/>
      <c r="N207" s="69"/>
    </row>
    <row r="208" spans="1:14" x14ac:dyDescent="0.25">
      <c r="A208" s="57"/>
      <c r="B208" s="57"/>
      <c r="C208" s="57"/>
      <c r="D208" s="57"/>
      <c r="E208" s="57"/>
      <c r="F208" s="57"/>
      <c r="G208" s="57"/>
      <c r="H208" s="57"/>
      <c r="I208" s="135"/>
      <c r="J208" s="135"/>
      <c r="K208" s="57"/>
      <c r="L208" s="58"/>
      <c r="M208" s="58"/>
      <c r="N208" s="69"/>
    </row>
    <row r="209" spans="1:14" x14ac:dyDescent="0.25">
      <c r="A209" s="57"/>
      <c r="B209" s="57"/>
      <c r="C209" s="57"/>
      <c r="D209" s="57"/>
      <c r="E209" s="57"/>
      <c r="F209" s="57"/>
      <c r="G209" s="57"/>
      <c r="H209" s="57"/>
      <c r="I209" s="135"/>
      <c r="J209" s="135"/>
      <c r="K209" s="57"/>
      <c r="L209" s="58"/>
      <c r="M209" s="58"/>
      <c r="N209" s="69"/>
    </row>
    <row r="210" spans="1:14" x14ac:dyDescent="0.25">
      <c r="A210" s="57"/>
      <c r="B210" s="57"/>
      <c r="C210" s="57"/>
      <c r="D210" s="57"/>
      <c r="E210" s="57"/>
      <c r="F210" s="57"/>
      <c r="G210" s="57"/>
      <c r="H210" s="57"/>
      <c r="I210" s="135"/>
      <c r="J210" s="135"/>
      <c r="K210" s="57"/>
      <c r="L210" s="58"/>
      <c r="M210" s="58"/>
      <c r="N210" s="69"/>
    </row>
    <row r="211" spans="1:14" x14ac:dyDescent="0.25">
      <c r="A211" s="57"/>
      <c r="B211" s="57"/>
      <c r="C211" s="57"/>
      <c r="D211" s="57"/>
      <c r="E211" s="57"/>
      <c r="F211" s="57"/>
      <c r="G211" s="57"/>
      <c r="H211" s="57"/>
      <c r="I211" s="135"/>
      <c r="J211" s="135"/>
      <c r="K211" s="57"/>
      <c r="L211" s="58"/>
      <c r="M211" s="58"/>
      <c r="N211" s="69"/>
    </row>
    <row r="212" spans="1:14" x14ac:dyDescent="0.25">
      <c r="A212" s="57"/>
      <c r="B212" s="57"/>
      <c r="C212" s="57"/>
      <c r="D212" s="57"/>
      <c r="E212" s="57"/>
      <c r="F212" s="57"/>
      <c r="G212" s="57"/>
      <c r="H212" s="57"/>
      <c r="I212" s="135"/>
      <c r="J212" s="135"/>
      <c r="K212" s="57"/>
      <c r="L212" s="58"/>
      <c r="M212" s="58"/>
      <c r="N212" s="69"/>
    </row>
    <row r="213" spans="1:14" x14ac:dyDescent="0.25">
      <c r="A213" s="57"/>
      <c r="B213" s="57"/>
      <c r="C213" s="57"/>
      <c r="D213" s="57"/>
      <c r="E213" s="57"/>
      <c r="F213" s="57"/>
      <c r="G213" s="57"/>
      <c r="H213" s="57"/>
      <c r="I213" s="135"/>
      <c r="J213" s="135"/>
      <c r="K213" s="57"/>
      <c r="L213" s="58"/>
      <c r="M213" s="58"/>
      <c r="N213" s="69"/>
    </row>
  </sheetData>
  <mergeCells count="94">
    <mergeCell ref="N23:N27"/>
    <mergeCell ref="N11:N17"/>
    <mergeCell ref="N18:N22"/>
    <mergeCell ref="N70:N74"/>
    <mergeCell ref="N50:N54"/>
    <mergeCell ref="N55:N59"/>
    <mergeCell ref="N60:N64"/>
    <mergeCell ref="N65:N69"/>
    <mergeCell ref="K32:M32"/>
    <mergeCell ref="K43:M43"/>
    <mergeCell ref="N39:N43"/>
    <mergeCell ref="N44:N49"/>
    <mergeCell ref="N28:N33"/>
    <mergeCell ref="N34:N38"/>
    <mergeCell ref="K34:M34"/>
    <mergeCell ref="C18:D18"/>
    <mergeCell ref="F18:G18"/>
    <mergeCell ref="K18:M18"/>
    <mergeCell ref="C29:D29"/>
    <mergeCell ref="F29:G29"/>
    <mergeCell ref="K29:M29"/>
    <mergeCell ref="C28:D28"/>
    <mergeCell ref="F24:G24"/>
    <mergeCell ref="K24:M24"/>
    <mergeCell ref="F28:G28"/>
    <mergeCell ref="K28:M28"/>
    <mergeCell ref="C24:D24"/>
    <mergeCell ref="C23:D23"/>
    <mergeCell ref="C19:D19"/>
    <mergeCell ref="F19:G19"/>
    <mergeCell ref="K19:M19"/>
    <mergeCell ref="C35:D35"/>
    <mergeCell ref="F35:G35"/>
    <mergeCell ref="K35:M35"/>
    <mergeCell ref="C11:D11"/>
    <mergeCell ref="K10:M10"/>
    <mergeCell ref="C10:D10"/>
    <mergeCell ref="F10:G10"/>
    <mergeCell ref="F11:G11"/>
    <mergeCell ref="K11:M11"/>
    <mergeCell ref="C12:D12"/>
    <mergeCell ref="F12:G12"/>
    <mergeCell ref="K12:M12"/>
    <mergeCell ref="F23:G23"/>
    <mergeCell ref="K23:M23"/>
    <mergeCell ref="C34:D34"/>
    <mergeCell ref="F34:G34"/>
    <mergeCell ref="C44:D44"/>
    <mergeCell ref="F44:G44"/>
    <mergeCell ref="K44:M44"/>
    <mergeCell ref="C45:D45"/>
    <mergeCell ref="F45:G45"/>
    <mergeCell ref="K45:M45"/>
    <mergeCell ref="C39:D39"/>
    <mergeCell ref="F39:G39"/>
    <mergeCell ref="K39:M39"/>
    <mergeCell ref="C40:D40"/>
    <mergeCell ref="F40:G40"/>
    <mergeCell ref="K40:M40"/>
    <mergeCell ref="C50:D50"/>
    <mergeCell ref="F50:G50"/>
    <mergeCell ref="K50:M50"/>
    <mergeCell ref="C61:D61"/>
    <mergeCell ref="F61:G61"/>
    <mergeCell ref="K61:M61"/>
    <mergeCell ref="C51:D51"/>
    <mergeCell ref="F51:G51"/>
    <mergeCell ref="K51:M51"/>
    <mergeCell ref="C55:D55"/>
    <mergeCell ref="F55:G55"/>
    <mergeCell ref="K55:M55"/>
    <mergeCell ref="C65:D65"/>
    <mergeCell ref="F65:G65"/>
    <mergeCell ref="K65:M65"/>
    <mergeCell ref="C56:D56"/>
    <mergeCell ref="F56:G56"/>
    <mergeCell ref="K56:M56"/>
    <mergeCell ref="C60:D60"/>
    <mergeCell ref="F60:G60"/>
    <mergeCell ref="K60:M60"/>
    <mergeCell ref="C59:D59"/>
    <mergeCell ref="K59:M59"/>
    <mergeCell ref="K74:M74"/>
    <mergeCell ref="C71:D71"/>
    <mergeCell ref="F71:G71"/>
    <mergeCell ref="K71:M71"/>
    <mergeCell ref="C66:D66"/>
    <mergeCell ref="F66:G66"/>
    <mergeCell ref="K66:M66"/>
    <mergeCell ref="C70:D70"/>
    <mergeCell ref="F70:G70"/>
    <mergeCell ref="K70:M70"/>
    <mergeCell ref="K72:M72"/>
    <mergeCell ref="K73:M73"/>
  </mergeCells>
  <phoneticPr fontId="0" type="noConversion"/>
  <printOptions horizontalCentered="1"/>
  <pageMargins left="0.2" right="0.2" top="0.5" bottom="0.5" header="0.51180555555555596" footer="0.51180555555555596"/>
  <pageSetup paperSize="3" firstPageNumber="0" fitToHeight="0" orientation="landscape" horizontalDpi="300" verticalDpi="300" r:id="rId1"/>
  <headerFooter alignWithMargins="0"/>
  <ignoredErrors>
    <ignoredError sqref="G68 G7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opLeftCell="A5" workbookViewId="0">
      <selection activeCell="A21" sqref="A21"/>
    </sheetView>
  </sheetViews>
  <sheetFormatPr defaultRowHeight="15" x14ac:dyDescent="0.25"/>
  <cols>
    <col min="1" max="1" width="16.85546875" customWidth="1"/>
    <col min="2" max="2" width="8.5703125" bestFit="1" customWidth="1"/>
    <col min="3" max="3" width="11.7109375" customWidth="1"/>
    <col min="4" max="5" width="12.7109375" customWidth="1"/>
    <col min="6" max="10" width="11.7109375" customWidth="1"/>
    <col min="11" max="11" width="16.42578125" bestFit="1" customWidth="1"/>
  </cols>
  <sheetData>
    <row r="1" spans="1:10" hidden="1" x14ac:dyDescent="0.25">
      <c r="A1" t="s">
        <v>26</v>
      </c>
      <c r="B1" s="10">
        <v>0.9</v>
      </c>
      <c r="C1" t="s">
        <v>29</v>
      </c>
    </row>
    <row r="2" spans="1:10" hidden="1" x14ac:dyDescent="0.25">
      <c r="A2" t="s">
        <v>27</v>
      </c>
      <c r="B2" s="10">
        <v>0.9</v>
      </c>
      <c r="C2" t="s">
        <v>30</v>
      </c>
    </row>
    <row r="3" spans="1:10" hidden="1" x14ac:dyDescent="0.25">
      <c r="A3" t="s">
        <v>58</v>
      </c>
      <c r="B3" s="10">
        <v>1.05</v>
      </c>
      <c r="C3" t="s">
        <v>56</v>
      </c>
    </row>
    <row r="4" spans="1:10" hidden="1" x14ac:dyDescent="0.25">
      <c r="A4" t="s">
        <v>28</v>
      </c>
      <c r="B4" s="10">
        <v>0.82</v>
      </c>
      <c r="C4" t="s">
        <v>31</v>
      </c>
    </row>
    <row r="5" spans="1:10" ht="15.75" thickBot="1" x14ac:dyDescent="0.3"/>
    <row r="6" spans="1:10" ht="30.75" thickBot="1" x14ac:dyDescent="0.3">
      <c r="A6" s="187" t="s">
        <v>12</v>
      </c>
      <c r="B6" s="188" t="s">
        <v>13</v>
      </c>
      <c r="C6" s="188" t="s">
        <v>101</v>
      </c>
      <c r="D6" s="188" t="s">
        <v>10</v>
      </c>
      <c r="E6" s="189" t="s">
        <v>32</v>
      </c>
      <c r="F6" s="188" t="s">
        <v>100</v>
      </c>
      <c r="G6" s="188" t="s">
        <v>102</v>
      </c>
      <c r="H6" s="188" t="s">
        <v>103</v>
      </c>
      <c r="I6" s="188" t="s">
        <v>104</v>
      </c>
      <c r="J6" s="190" t="s">
        <v>105</v>
      </c>
    </row>
    <row r="7" spans="1:10" hidden="1" x14ac:dyDescent="0.25">
      <c r="A7" s="180" t="s">
        <v>8</v>
      </c>
      <c r="B7" s="181">
        <v>0.5</v>
      </c>
      <c r="C7" s="182">
        <f t="shared" ref="C7:C12" si="0">IF(D7&lt;60,TIME(0,ROUNDDOWN(D7,0),((D7)-ROUNDDOWN(D7,0))*60),TIME(1,ROUNDDOWN(D7,0)-60,((D7)-ROUNDDOWN(D7,0))*60))</f>
        <v>1.736111111111111E-3</v>
      </c>
      <c r="D7" s="183">
        <f t="shared" ref="D7:D13" si="1">(0.0312*$D$14-0.0317)*B7^(-0.0000175*($D$14)+1.07)</f>
        <v>2.5015584047217776</v>
      </c>
      <c r="E7" s="184" t="s">
        <v>33</v>
      </c>
      <c r="F7" s="185">
        <f t="shared" ref="F7:F14" si="2">IF((D7/B7)&lt;60,TIME(0,ROUNDDOWN((D7/B7),0),(((D7/B7))-ROUNDDOWN((D7/B7),0))*60),TIME(1,ROUNDDOWN((D7/B7),0)-60,(((D7/B7))-ROUNDDOWN((D7/B7),0))*60))</f>
        <v>3.472222222222222E-3</v>
      </c>
      <c r="G7" s="186"/>
      <c r="H7" s="186"/>
      <c r="I7" s="186"/>
      <c r="J7" s="186"/>
    </row>
    <row r="8" spans="1:10" x14ac:dyDescent="0.25">
      <c r="A8" s="164" t="s">
        <v>9</v>
      </c>
      <c r="B8" s="165">
        <v>1</v>
      </c>
      <c r="C8" s="166">
        <f t="shared" si="0"/>
        <v>3.6342592592592594E-3</v>
      </c>
      <c r="D8" s="167">
        <f t="shared" si="1"/>
        <v>5.2411000000000003</v>
      </c>
      <c r="E8" s="168" t="s">
        <v>38</v>
      </c>
      <c r="F8" s="169">
        <f t="shared" si="2"/>
        <v>3.6342592592592594E-3</v>
      </c>
      <c r="G8" s="169">
        <f>F8/8</f>
        <v>4.5428240740740742E-4</v>
      </c>
      <c r="H8" s="169">
        <f>F8/4</f>
        <v>9.0856481481481485E-4</v>
      </c>
      <c r="I8" s="169">
        <f>F8/2</f>
        <v>1.8171296296296297E-3</v>
      </c>
      <c r="J8" s="170">
        <f>F8*3/4</f>
        <v>2.7256944444444446E-3</v>
      </c>
    </row>
    <row r="9" spans="1:10" x14ac:dyDescent="0.25">
      <c r="A9" s="171" t="s">
        <v>7</v>
      </c>
      <c r="B9" s="152">
        <v>3.1</v>
      </c>
      <c r="C9" s="154">
        <f t="shared" si="0"/>
        <v>1.2164351851851852E-2</v>
      </c>
      <c r="D9" s="153">
        <f t="shared" si="1"/>
        <v>17.527753474335753</v>
      </c>
      <c r="E9" s="15" t="s">
        <v>34</v>
      </c>
      <c r="F9" s="16">
        <f t="shared" si="2"/>
        <v>3.9236111111111112E-3</v>
      </c>
      <c r="G9" s="16">
        <f t="shared" ref="G9:G21" si="3">F9/8</f>
        <v>4.904513888888889E-4</v>
      </c>
      <c r="H9" s="16">
        <f t="shared" ref="H9:H21" si="4">F9/4</f>
        <v>9.8090277777777781E-4</v>
      </c>
      <c r="I9" s="16">
        <f t="shared" ref="I9:I21" si="5">F9/2</f>
        <v>1.9618055555555556E-3</v>
      </c>
      <c r="J9" s="172">
        <f t="shared" ref="J9:J21" si="6">F9*3/4</f>
        <v>2.9427083333333336E-3</v>
      </c>
    </row>
    <row r="10" spans="1:10" x14ac:dyDescent="0.25">
      <c r="A10" s="171" t="s">
        <v>46</v>
      </c>
      <c r="B10" s="152">
        <v>4</v>
      </c>
      <c r="C10" s="154">
        <f t="shared" si="0"/>
        <v>1.5972222222222224E-2</v>
      </c>
      <c r="D10" s="153">
        <f t="shared" si="1"/>
        <v>23.006261103883212</v>
      </c>
      <c r="E10" s="15" t="s">
        <v>45</v>
      </c>
      <c r="F10" s="16">
        <f t="shared" si="2"/>
        <v>3.9930555555555561E-3</v>
      </c>
      <c r="G10" s="16">
        <f t="shared" si="3"/>
        <v>4.9913194444444451E-4</v>
      </c>
      <c r="H10" s="16">
        <f t="shared" si="4"/>
        <v>9.9826388888888903E-4</v>
      </c>
      <c r="I10" s="16">
        <f t="shared" si="5"/>
        <v>1.9965277777777781E-3</v>
      </c>
      <c r="J10" s="172">
        <f t="shared" si="6"/>
        <v>2.9947916666666673E-3</v>
      </c>
    </row>
    <row r="11" spans="1:10" x14ac:dyDescent="0.25">
      <c r="A11" s="171" t="s">
        <v>47</v>
      </c>
      <c r="B11" s="152">
        <v>5</v>
      </c>
      <c r="C11" s="154">
        <f t="shared" si="0"/>
        <v>2.0266203703703703E-2</v>
      </c>
      <c r="D11" s="153">
        <f t="shared" si="1"/>
        <v>29.191280557736082</v>
      </c>
      <c r="E11" s="15" t="s">
        <v>48</v>
      </c>
      <c r="F11" s="16">
        <f t="shared" si="2"/>
        <v>4.0509259259259257E-3</v>
      </c>
      <c r="G11" s="16">
        <f t="shared" si="3"/>
        <v>5.0636574074074071E-4</v>
      </c>
      <c r="H11" s="16">
        <f t="shared" si="4"/>
        <v>1.0127314814814814E-3</v>
      </c>
      <c r="I11" s="16">
        <f t="shared" si="5"/>
        <v>2.0254629629629629E-3</v>
      </c>
      <c r="J11" s="172">
        <f t="shared" si="6"/>
        <v>3.0381944444444441E-3</v>
      </c>
    </row>
    <row r="12" spans="1:10" x14ac:dyDescent="0.25">
      <c r="A12" s="171" t="s">
        <v>6</v>
      </c>
      <c r="B12" s="152">
        <v>6.2</v>
      </c>
      <c r="C12" s="154">
        <f t="shared" si="0"/>
        <v>2.5497685185185189E-2</v>
      </c>
      <c r="D12" s="153">
        <f t="shared" si="1"/>
        <v>36.722991780221214</v>
      </c>
      <c r="E12" s="15" t="s">
        <v>35</v>
      </c>
      <c r="F12" s="16">
        <f t="shared" si="2"/>
        <v>4.108796296296297E-3</v>
      </c>
      <c r="G12" s="16">
        <f t="shared" si="3"/>
        <v>5.1359953703703713E-4</v>
      </c>
      <c r="H12" s="16">
        <f t="shared" si="4"/>
        <v>1.0271990740740743E-3</v>
      </c>
      <c r="I12" s="16">
        <f t="shared" si="5"/>
        <v>2.0543981481481485E-3</v>
      </c>
      <c r="J12" s="172">
        <f t="shared" si="6"/>
        <v>3.0815972222222225E-3</v>
      </c>
    </row>
    <row r="13" spans="1:10" x14ac:dyDescent="0.25">
      <c r="A13" s="171" t="s">
        <v>5</v>
      </c>
      <c r="B13" s="152">
        <v>13.1</v>
      </c>
      <c r="C13" s="154">
        <f>IF(D13&lt;60,TIME(0,ROUNDDOWN(D13,0),((D13)-ROUNDDOWN(D13,0))*60),TIME(1,ROUNDDOWN(D13,0)-60,((D13)-ROUNDDOWN(D13,0))*60))</f>
        <v>5.6643518518518517E-2</v>
      </c>
      <c r="D13" s="153">
        <f t="shared" si="1"/>
        <v>81.582761670675879</v>
      </c>
      <c r="E13" s="15" t="s">
        <v>36</v>
      </c>
      <c r="F13" s="16">
        <f t="shared" si="2"/>
        <v>4.31712962962963E-3</v>
      </c>
      <c r="G13" s="16">
        <f t="shared" si="3"/>
        <v>5.3964120370370375E-4</v>
      </c>
      <c r="H13" s="16">
        <f t="shared" si="4"/>
        <v>1.0792824074074075E-3</v>
      </c>
      <c r="I13" s="16">
        <f t="shared" si="5"/>
        <v>2.158564814814815E-3</v>
      </c>
      <c r="J13" s="172">
        <f t="shared" si="6"/>
        <v>3.2378472222222227E-3</v>
      </c>
    </row>
    <row r="14" spans="1:10" ht="15.75" thickBot="1" x14ac:dyDescent="0.3">
      <c r="A14" s="173" t="s">
        <v>11</v>
      </c>
      <c r="B14" s="174">
        <v>26.2</v>
      </c>
      <c r="C14" s="175">
        <f>'Harrier Training Plan'!A6</f>
        <v>0.1173611111111111</v>
      </c>
      <c r="D14" s="176">
        <f>HOUR(C14)*60+MINUTE(C14)+SECOND(C14)/60</f>
        <v>169</v>
      </c>
      <c r="E14" s="177" t="s">
        <v>37</v>
      </c>
      <c r="F14" s="178">
        <f t="shared" si="2"/>
        <v>4.4791666666666669E-3</v>
      </c>
      <c r="G14" s="178">
        <f t="shared" si="3"/>
        <v>5.5989583333333336E-4</v>
      </c>
      <c r="H14" s="178">
        <f t="shared" si="4"/>
        <v>1.1197916666666667E-3</v>
      </c>
      <c r="I14" s="178">
        <f t="shared" si="5"/>
        <v>2.2395833333333334E-3</v>
      </c>
      <c r="J14" s="179">
        <f t="shared" si="6"/>
        <v>3.3593750000000004E-3</v>
      </c>
    </row>
    <row r="15" spans="1:10" hidden="1" x14ac:dyDescent="0.25">
      <c r="A15" s="159"/>
      <c r="B15" s="159"/>
      <c r="C15" s="160">
        <f>IF(D15&lt;60,TIME(0,ROUNDDOWN(D15,0),((D15)-ROUNDDOWN(D15,0))*60),TIME(1,ROUNDDOWN(D15,0)-60,((D15)-ROUNDDOWN(D15,0))*60))</f>
        <v>1.9212962962962962E-3</v>
      </c>
      <c r="D15" s="161">
        <f>D7/B1</f>
        <v>2.7795093385797527</v>
      </c>
      <c r="E15" s="162" t="s">
        <v>39</v>
      </c>
      <c r="F15" s="163">
        <f>IF((D15/B7)&lt;60,TIME(0,ROUNDDOWN((D15/B7),0),(((D15/B7))-ROUNDDOWN((D15/B7),0))*60),TIME(1,ROUNDDOWN((D15/B7),0)-60,(((D15/B7))-ROUNDDOWN((D15/B7),0))*60))</f>
        <v>3.8541666666666668E-3</v>
      </c>
      <c r="G15" s="163">
        <f t="shared" si="3"/>
        <v>4.8177083333333335E-4</v>
      </c>
      <c r="H15" s="163">
        <f t="shared" si="4"/>
        <v>9.6354166666666669E-4</v>
      </c>
      <c r="I15" s="163">
        <f t="shared" si="5"/>
        <v>1.9270833333333334E-3</v>
      </c>
      <c r="J15" s="163">
        <f t="shared" si="6"/>
        <v>2.890625E-3</v>
      </c>
    </row>
    <row r="16" spans="1:10" hidden="1" x14ac:dyDescent="0.25">
      <c r="A16" s="155"/>
      <c r="B16" s="155"/>
      <c r="C16" s="154">
        <f>IF(D16&lt;60,TIME(0,ROUNDDOWN(D16,0),((D16)-ROUNDDOWN(D16,0))*60),TIME(1,ROUNDDOWN(D16,0)-60,((D16)-ROUNDDOWN(D16,0))*60))</f>
        <v>4.0393518518518521E-3</v>
      </c>
      <c r="D16" s="153">
        <f>D8/B1</f>
        <v>5.8234444444444451</v>
      </c>
      <c r="E16" s="15" t="s">
        <v>40</v>
      </c>
      <c r="F16" s="16">
        <f>IF((D16/B8)&lt;60,TIME(0,ROUNDDOWN((D16/B8),0),(((D16/B8))-ROUNDDOWN((D16/B8),0))*60),TIME(1,ROUNDDOWN((D16/B8),0)-60,(((D16/B8))-ROUNDDOWN((D16/B8),0))*60))</f>
        <v>4.0393518518518521E-3</v>
      </c>
      <c r="G16" s="16">
        <f t="shared" si="3"/>
        <v>5.0491898148148152E-4</v>
      </c>
      <c r="H16" s="16">
        <f t="shared" si="4"/>
        <v>1.009837962962963E-3</v>
      </c>
      <c r="I16" s="16">
        <f t="shared" si="5"/>
        <v>2.0196759259259261E-3</v>
      </c>
      <c r="J16" s="16">
        <f t="shared" si="6"/>
        <v>3.0295138888888889E-3</v>
      </c>
    </row>
    <row r="17" spans="1:10" hidden="1" x14ac:dyDescent="0.25">
      <c r="A17" s="155"/>
      <c r="B17" s="155"/>
      <c r="C17" s="154">
        <f>IF(D17&lt;60,TIME(0,ROUNDDOWN(D17,0),((D17)-ROUNDDOWN(D17,0))*60),TIME(1,ROUNDDOWN(D17,0)-60,((D17)-ROUNDDOWN(D17,0))*60))</f>
        <v>1.3518518518518518E-2</v>
      </c>
      <c r="D17" s="153">
        <f>D9/B2</f>
        <v>19.475281638150836</v>
      </c>
      <c r="E17" s="15" t="s">
        <v>41</v>
      </c>
      <c r="F17" s="16">
        <f>IF((D17/B9)&lt;60,TIME(0,ROUNDDOWN((D17/B9),0),(((D17/B9))-ROUNDDOWN((D17/B9),0))*60),TIME(1,ROUNDDOWN((D17/B9),0)-60,(((D17/B9))-ROUNDDOWN((D17/B9),0))*60))</f>
        <v>4.3518518518518515E-3</v>
      </c>
      <c r="G17" s="16">
        <f t="shared" si="3"/>
        <v>5.4398148148148144E-4</v>
      </c>
      <c r="H17" s="16">
        <f t="shared" si="4"/>
        <v>1.0879629629629629E-3</v>
      </c>
      <c r="I17" s="16">
        <f t="shared" si="5"/>
        <v>2.1759259259259258E-3</v>
      </c>
      <c r="J17" s="16">
        <f t="shared" si="6"/>
        <v>3.2638888888888887E-3</v>
      </c>
    </row>
    <row r="18" spans="1:10" hidden="1" x14ac:dyDescent="0.25">
      <c r="A18" s="191"/>
      <c r="B18" s="191"/>
      <c r="C18" s="192">
        <f>IF(D18&lt;60,TIME(0,ROUNDDOWN(D18,0),((D18)-ROUNDDOWN(D18,0))*60),TIME(1,ROUNDDOWN(D18,0)-60,((D18)-ROUNDDOWN(D18,0))*60))</f>
        <v>2.8333333333333332E-2</v>
      </c>
      <c r="D18" s="156">
        <f>D12/B2</f>
        <v>40.80332420024579</v>
      </c>
      <c r="E18" s="157" t="s">
        <v>42</v>
      </c>
      <c r="F18" s="158">
        <f>IF((D18/B12)&lt;60,TIME(0,ROUNDDOWN((D18/B12),0),(((D18/B12))-ROUNDDOWN((D18/B12),0))*60),TIME(1,ROUNDDOWN((D18/B12),0)-60,(((D18/B12))-ROUNDDOWN((D18/B12),0))*60))</f>
        <v>4.5601851851851853E-3</v>
      </c>
      <c r="G18" s="158">
        <f t="shared" si="3"/>
        <v>5.7002314814814817E-4</v>
      </c>
      <c r="H18" s="158">
        <f t="shared" si="4"/>
        <v>1.1400462962962963E-3</v>
      </c>
      <c r="I18" s="158">
        <f t="shared" si="5"/>
        <v>2.2800925925925927E-3</v>
      </c>
      <c r="J18" s="158">
        <f t="shared" si="6"/>
        <v>3.4201388888888892E-3</v>
      </c>
    </row>
    <row r="19" spans="1:10" x14ac:dyDescent="0.25">
      <c r="A19" s="193" t="s">
        <v>98</v>
      </c>
      <c r="B19" s="196"/>
      <c r="C19" s="197"/>
      <c r="D19" s="167">
        <f>D13/B4</f>
        <v>99.491172769116929</v>
      </c>
      <c r="E19" s="168" t="s">
        <v>43</v>
      </c>
      <c r="F19" s="169">
        <f>IF((D19/B13)&lt;60,TIME(0,ROUNDDOWN((D19/B13),0),(((D19/B13))-ROUNDDOWN((D19/B13),0))*60),TIME(1,ROUNDDOWN((D19/B13),0)-60,(((D19/B13))-ROUNDDOWN((D19/B13),0))*60))</f>
        <v>5.2662037037037035E-3</v>
      </c>
      <c r="G19" s="169">
        <f t="shared" si="3"/>
        <v>6.5827546296296294E-4</v>
      </c>
      <c r="H19" s="169">
        <f t="shared" si="4"/>
        <v>1.3165509259259259E-3</v>
      </c>
      <c r="I19" s="169">
        <f t="shared" si="5"/>
        <v>2.6331018518518517E-3</v>
      </c>
      <c r="J19" s="170">
        <f t="shared" si="6"/>
        <v>3.9496527777777776E-3</v>
      </c>
    </row>
    <row r="20" spans="1:10" x14ac:dyDescent="0.25">
      <c r="A20" s="194" t="s">
        <v>58</v>
      </c>
      <c r="B20" s="198"/>
      <c r="C20" s="199"/>
      <c r="D20" s="153">
        <f>D14*B3</f>
        <v>177.45000000000002</v>
      </c>
      <c r="E20" s="15" t="s">
        <v>57</v>
      </c>
      <c r="F20" s="16">
        <f>IF((D20/B14)&lt;60,TIME(0,ROUNDDOWN((D20/B14),0),(((D20/B14))-ROUNDDOWN((D20/B14),0))*60),TIME(1,ROUNDDOWN((D20/B14),0)-60,(((D20/B14))-ROUNDDOWN((D20/B14),0))*60))</f>
        <v>4.6990740740740743E-3</v>
      </c>
      <c r="G20" s="16">
        <f t="shared" si="3"/>
        <v>5.8738425925925928E-4</v>
      </c>
      <c r="H20" s="16">
        <f t="shared" si="4"/>
        <v>1.1747685185185186E-3</v>
      </c>
      <c r="I20" s="16">
        <f t="shared" si="5"/>
        <v>2.3495370370370371E-3</v>
      </c>
      <c r="J20" s="172">
        <f t="shared" si="6"/>
        <v>3.5243055555555557E-3</v>
      </c>
    </row>
    <row r="21" spans="1:10" ht="15.75" thickBot="1" x14ac:dyDescent="0.3">
      <c r="A21" s="195" t="s">
        <v>99</v>
      </c>
      <c r="B21" s="200"/>
      <c r="C21" s="201"/>
      <c r="D21" s="176">
        <f>D14/B4</f>
        <v>206.09756097560978</v>
      </c>
      <c r="E21" s="177" t="s">
        <v>44</v>
      </c>
      <c r="F21" s="178">
        <f>IF((D21/B14)&lt;60,TIME(0,ROUNDDOWN((D21/B14),0),(((D21/B14))-ROUNDDOWN((D21/B14),0))*60),TIME(1,ROUNDDOWN((D21/B14),0)-60,(((D21/B14))-ROUNDDOWN((D21/B14),0))*60))</f>
        <v>5.4513888888888884E-3</v>
      </c>
      <c r="G21" s="178">
        <f t="shared" si="3"/>
        <v>6.8142361111111105E-4</v>
      </c>
      <c r="H21" s="178">
        <f t="shared" si="4"/>
        <v>1.3628472222222221E-3</v>
      </c>
      <c r="I21" s="178">
        <f t="shared" si="5"/>
        <v>2.7256944444444442E-3</v>
      </c>
      <c r="J21" s="179">
        <f t="shared" si="6"/>
        <v>4.0885416666666665E-3</v>
      </c>
    </row>
    <row r="22" spans="1:10" x14ac:dyDescent="0.25">
      <c r="A22" s="14"/>
      <c r="B22" s="14"/>
      <c r="C22" s="14"/>
      <c r="D22" s="14"/>
      <c r="E22" s="14"/>
      <c r="F22" s="14"/>
    </row>
    <row r="23" spans="1:10" hidden="1" x14ac:dyDescent="0.25">
      <c r="E23" s="17" t="s">
        <v>49</v>
      </c>
    </row>
    <row r="24" spans="1:10" hidden="1" x14ac:dyDescent="0.25">
      <c r="E24" s="15" t="s">
        <v>35</v>
      </c>
      <c r="F24" s="16">
        <f>'Pace Chart'!$F$12</f>
        <v>4.108796296296297E-3</v>
      </c>
    </row>
    <row r="25" spans="1:10" hidden="1" x14ac:dyDescent="0.25">
      <c r="E25" s="15" t="s">
        <v>38</v>
      </c>
      <c r="F25" s="16">
        <f>'Pace Chart'!$F$8</f>
        <v>3.6342592592592594E-3</v>
      </c>
    </row>
    <row r="26" spans="1:10" hidden="1" x14ac:dyDescent="0.25">
      <c r="E26" s="15" t="s">
        <v>45</v>
      </c>
      <c r="F26" s="16">
        <f>'Pace Chart'!$F$10</f>
        <v>3.9930555555555561E-3</v>
      </c>
    </row>
    <row r="27" spans="1:10" hidden="1" x14ac:dyDescent="0.25">
      <c r="E27" s="15" t="s">
        <v>34</v>
      </c>
      <c r="F27" s="16">
        <f>'Pace Chart'!$F$9</f>
        <v>3.9236111111111112E-3</v>
      </c>
    </row>
    <row r="28" spans="1:10" hidden="1" x14ac:dyDescent="0.25">
      <c r="E28" s="15" t="s">
        <v>48</v>
      </c>
      <c r="F28" s="16">
        <f>'Pace Chart'!$F$11</f>
        <v>4.0509259259259257E-3</v>
      </c>
    </row>
    <row r="29" spans="1:10" hidden="1" x14ac:dyDescent="0.25">
      <c r="E29" s="15" t="s">
        <v>33</v>
      </c>
      <c r="F29" s="16">
        <f>'Pace Chart'!$F$7</f>
        <v>3.472222222222222E-3</v>
      </c>
    </row>
    <row r="30" spans="1:10" hidden="1" x14ac:dyDescent="0.25">
      <c r="E30" s="15" t="s">
        <v>36</v>
      </c>
      <c r="F30" s="16">
        <f>'Pace Chart'!$F$13</f>
        <v>4.31712962962963E-3</v>
      </c>
    </row>
    <row r="31" spans="1:10" hidden="1" x14ac:dyDescent="0.25">
      <c r="E31" s="15" t="s">
        <v>37</v>
      </c>
      <c r="F31" s="16">
        <f>'Pace Chart'!$F$14</f>
        <v>4.4791666666666669E-3</v>
      </c>
    </row>
    <row r="32" spans="1:10" hidden="1" x14ac:dyDescent="0.25">
      <c r="E32" s="15" t="s">
        <v>57</v>
      </c>
      <c r="F32" s="16">
        <f>F20</f>
        <v>4.6990740740740743E-3</v>
      </c>
    </row>
    <row r="33" spans="5:6" hidden="1" x14ac:dyDescent="0.25">
      <c r="E33" s="15" t="s">
        <v>51</v>
      </c>
      <c r="F33" s="16">
        <f>'Pace Chart'!$F$19</f>
        <v>5.2662037037037035E-3</v>
      </c>
    </row>
    <row r="34" spans="5:6" hidden="1" x14ac:dyDescent="0.25">
      <c r="E34" s="15" t="s">
        <v>50</v>
      </c>
      <c r="F34" s="16">
        <f>'Pace Chart'!$F$21</f>
        <v>5.4513888888888884E-3</v>
      </c>
    </row>
    <row r="35" spans="5:6" hidden="1" x14ac:dyDescent="0.25">
      <c r="E35" s="15" t="s">
        <v>39</v>
      </c>
      <c r="F35" s="16">
        <f>'Pace Chart'!$F$15</f>
        <v>3.8541666666666668E-3</v>
      </c>
    </row>
    <row r="36" spans="5:6" hidden="1" x14ac:dyDescent="0.25">
      <c r="E36" s="15" t="s">
        <v>40</v>
      </c>
      <c r="F36" s="16">
        <f>'Pace Chart'!$F$16</f>
        <v>4.0393518518518521E-3</v>
      </c>
    </row>
    <row r="37" spans="5:6" hidden="1" x14ac:dyDescent="0.25">
      <c r="E37" s="15" t="s">
        <v>41</v>
      </c>
      <c r="F37" s="16">
        <f>'Pace Chart'!$F$17</f>
        <v>4.3518518518518515E-3</v>
      </c>
    </row>
    <row r="38" spans="5:6" hidden="1" x14ac:dyDescent="0.25">
      <c r="E38" s="15" t="s">
        <v>42</v>
      </c>
      <c r="F38" s="16">
        <f>'Pace Chart'!$F$18</f>
        <v>4.5601851851851853E-3</v>
      </c>
    </row>
  </sheetData>
  <phoneticPr fontId="0" type="noConversion"/>
  <pageMargins left="0.7" right="0.7" top="0.75" bottom="0.75"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zoomScaleNormal="100" workbookViewId="0">
      <selection activeCell="B18" sqref="B18"/>
    </sheetView>
  </sheetViews>
  <sheetFormatPr defaultRowHeight="15" x14ac:dyDescent="0.25"/>
  <cols>
    <col min="1" max="1" width="26.140625" style="72" customWidth="1"/>
    <col min="2" max="2" width="141.85546875" style="71" customWidth="1"/>
  </cols>
  <sheetData>
    <row r="1" spans="1:2" ht="105.75" thickBot="1" x14ac:dyDescent="0.3">
      <c r="A1" s="76" t="s">
        <v>60</v>
      </c>
      <c r="B1" s="75" t="s">
        <v>140</v>
      </c>
    </row>
    <row r="2" spans="1:2" ht="90.75" thickBot="1" x14ac:dyDescent="0.3">
      <c r="A2" s="76" t="s">
        <v>67</v>
      </c>
      <c r="B2" s="75" t="s">
        <v>77</v>
      </c>
    </row>
    <row r="3" spans="1:2" ht="45.75" thickBot="1" x14ac:dyDescent="0.3">
      <c r="A3" s="74" t="s">
        <v>64</v>
      </c>
      <c r="B3" s="75" t="s">
        <v>66</v>
      </c>
    </row>
    <row r="4" spans="1:2" ht="30.75" thickBot="1" x14ac:dyDescent="0.3">
      <c r="A4" s="76" t="s">
        <v>71</v>
      </c>
      <c r="B4" s="75" t="s">
        <v>72</v>
      </c>
    </row>
    <row r="5" spans="1:2" ht="30.75" thickBot="1" x14ac:dyDescent="0.3">
      <c r="A5" s="76" t="s">
        <v>52</v>
      </c>
      <c r="B5" s="75" t="s">
        <v>141</v>
      </c>
    </row>
    <row r="6" spans="1:2" ht="45.75" thickBot="1" x14ac:dyDescent="0.3">
      <c r="A6" s="76" t="s">
        <v>73</v>
      </c>
      <c r="B6" s="75" t="s">
        <v>74</v>
      </c>
    </row>
    <row r="7" spans="1:2" ht="60.75" thickBot="1" x14ac:dyDescent="0.3">
      <c r="A7" s="76" t="s">
        <v>70</v>
      </c>
      <c r="B7" s="75" t="s">
        <v>143</v>
      </c>
    </row>
    <row r="8" spans="1:2" ht="15.75" thickBot="1" x14ac:dyDescent="0.3">
      <c r="A8" s="76" t="s">
        <v>62</v>
      </c>
      <c r="B8" s="75" t="s">
        <v>142</v>
      </c>
    </row>
    <row r="9" spans="1:2" ht="15.75" thickBot="1" x14ac:dyDescent="0.3">
      <c r="A9" s="76" t="s">
        <v>63</v>
      </c>
      <c r="B9" s="75" t="s">
        <v>144</v>
      </c>
    </row>
    <row r="10" spans="1:2" ht="135.75" thickBot="1" x14ac:dyDescent="0.3">
      <c r="A10" s="76" t="s">
        <v>76</v>
      </c>
      <c r="B10" s="75" t="s">
        <v>145</v>
      </c>
    </row>
    <row r="11" spans="1:2" ht="30.75" thickBot="1" x14ac:dyDescent="0.3">
      <c r="A11" s="76" t="s">
        <v>61</v>
      </c>
      <c r="B11" s="75" t="s">
        <v>146</v>
      </c>
    </row>
    <row r="12" spans="1:2" ht="30.75" thickBot="1" x14ac:dyDescent="0.3">
      <c r="A12" s="74" t="s">
        <v>65</v>
      </c>
      <c r="B12" s="75" t="s">
        <v>147</v>
      </c>
    </row>
    <row r="13" spans="1:2" ht="60.75" thickBot="1" x14ac:dyDescent="0.3">
      <c r="A13" s="76" t="s">
        <v>68</v>
      </c>
      <c r="B13" s="75" t="s">
        <v>69</v>
      </c>
    </row>
  </sheetData>
  <phoneticPr fontId="0" type="noConversion"/>
  <hyperlinks>
    <hyperlink ref="A3" r:id="rId1" xr:uid="{00000000-0004-0000-0200-000000000000}"/>
    <hyperlink ref="A12" r:id="rId2" xr:uid="{00000000-0004-0000-0200-000001000000}"/>
  </hyperlinks>
  <pageMargins left="0.5" right="0.5" top="1" bottom="1" header="0.5" footer="0.5"/>
  <pageSetup orientation="portrait" horizontalDpi="1200" verticalDpi="12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workbookViewId="0">
      <selection activeCell="S17" sqref="S17"/>
    </sheetView>
  </sheetViews>
  <sheetFormatPr defaultRowHeight="15" x14ac:dyDescent="0.25"/>
  <sheetData>
    <row r="1" spans="1:12" x14ac:dyDescent="0.25">
      <c r="A1" t="s">
        <v>14</v>
      </c>
      <c r="F1" t="s">
        <v>21</v>
      </c>
      <c r="G1" t="s">
        <v>22</v>
      </c>
      <c r="H1" t="s">
        <v>19</v>
      </c>
      <c r="I1" t="s">
        <v>20</v>
      </c>
    </row>
    <row r="2" spans="1:12" x14ac:dyDescent="0.25">
      <c r="A2" s="3">
        <v>0.5</v>
      </c>
      <c r="B2" s="8">
        <v>1.6666666666666668E-3</v>
      </c>
      <c r="C2" s="9">
        <f t="shared" ref="C2:C7" si="0">HOUR(B2)*60+MINUTE(B2)+SECOND(B2)/60</f>
        <v>2.4</v>
      </c>
      <c r="F2">
        <v>1</v>
      </c>
      <c r="G2" s="7">
        <f>C7</f>
        <v>160</v>
      </c>
      <c r="H2">
        <v>4.9564000000000004</v>
      </c>
      <c r="I2">
        <v>1.0639000000000001</v>
      </c>
      <c r="L2" t="s">
        <v>25</v>
      </c>
    </row>
    <row r="3" spans="1:12" x14ac:dyDescent="0.25">
      <c r="A3" s="3">
        <v>1</v>
      </c>
      <c r="B3" s="8">
        <v>3.3680555555555551E-3</v>
      </c>
      <c r="C3" s="9">
        <f t="shared" si="0"/>
        <v>4.8499999999999996</v>
      </c>
      <c r="F3">
        <v>2</v>
      </c>
      <c r="G3" s="7">
        <f>C15</f>
        <v>175</v>
      </c>
      <c r="H3">
        <v>5.4539999999999997</v>
      </c>
      <c r="I3">
        <v>1.0636000000000001</v>
      </c>
      <c r="L3" t="s">
        <v>23</v>
      </c>
    </row>
    <row r="4" spans="1:12" x14ac:dyDescent="0.25">
      <c r="A4" s="3">
        <v>3.1</v>
      </c>
      <c r="B4" s="8">
        <v>1.1574074074074075E-2</v>
      </c>
      <c r="C4" s="9">
        <f t="shared" si="0"/>
        <v>16.666666666666668</v>
      </c>
      <c r="F4">
        <v>3</v>
      </c>
      <c r="G4" s="7">
        <f>C23</f>
        <v>195</v>
      </c>
      <c r="H4">
        <v>6.0556999999999999</v>
      </c>
      <c r="I4">
        <v>1.0629999999999999</v>
      </c>
      <c r="L4" t="s">
        <v>24</v>
      </c>
    </row>
    <row r="5" spans="1:12" x14ac:dyDescent="0.25">
      <c r="A5" s="3">
        <v>6.2</v>
      </c>
      <c r="B5" s="8">
        <v>2.4074074074074071E-2</v>
      </c>
      <c r="C5" s="9">
        <f t="shared" si="0"/>
        <v>34.666666666666664</v>
      </c>
      <c r="F5">
        <v>4</v>
      </c>
      <c r="G5" s="7">
        <f>C31</f>
        <v>210</v>
      </c>
      <c r="H5">
        <v>6.5191999999999997</v>
      </c>
      <c r="I5">
        <v>1.0633999999999999</v>
      </c>
    </row>
    <row r="6" spans="1:12" x14ac:dyDescent="0.25">
      <c r="A6" s="3">
        <v>13.1</v>
      </c>
      <c r="B6" s="8">
        <v>5.2939814814814821E-2</v>
      </c>
      <c r="C6" s="9">
        <f t="shared" si="0"/>
        <v>76.233333333333334</v>
      </c>
      <c r="F6">
        <v>5</v>
      </c>
      <c r="G6" s="7">
        <f>C39</f>
        <v>230</v>
      </c>
      <c r="H6">
        <v>7.1578999999999997</v>
      </c>
      <c r="I6">
        <v>1.0625</v>
      </c>
    </row>
    <row r="7" spans="1:12" x14ac:dyDescent="0.25">
      <c r="A7" s="3">
        <v>26.2</v>
      </c>
      <c r="B7" s="8">
        <v>0.1111111111111111</v>
      </c>
      <c r="C7" s="9">
        <f t="shared" si="0"/>
        <v>160</v>
      </c>
    </row>
    <row r="9" spans="1:12" x14ac:dyDescent="0.25">
      <c r="A9" t="s">
        <v>15</v>
      </c>
    </row>
    <row r="10" spans="1:12" x14ac:dyDescent="0.25">
      <c r="A10" s="3">
        <v>0.5</v>
      </c>
      <c r="B10" s="8">
        <v>1.8171296296296297E-3</v>
      </c>
      <c r="C10" s="9">
        <f t="shared" ref="C10:C15" si="1">HOUR(B10)*60+MINUTE(B10)+SECOND(B10)/60</f>
        <v>2.6166666666666667</v>
      </c>
    </row>
    <row r="11" spans="1:12" x14ac:dyDescent="0.25">
      <c r="A11" s="3">
        <v>1</v>
      </c>
      <c r="B11" s="8">
        <v>3.6921296296296298E-3</v>
      </c>
      <c r="C11" s="9">
        <f t="shared" si="1"/>
        <v>5.3166666666666664</v>
      </c>
    </row>
    <row r="12" spans="1:12" x14ac:dyDescent="0.25">
      <c r="A12" s="3">
        <v>3.1</v>
      </c>
      <c r="B12" s="8">
        <v>1.3101851851851852E-2</v>
      </c>
      <c r="C12" s="9">
        <f t="shared" si="1"/>
        <v>18.866666666666667</v>
      </c>
    </row>
    <row r="13" spans="1:12" x14ac:dyDescent="0.25">
      <c r="A13" s="3">
        <v>6.2</v>
      </c>
      <c r="B13" s="8">
        <v>2.6331018518518517E-2</v>
      </c>
      <c r="C13" s="9">
        <f t="shared" si="1"/>
        <v>37.916666666666664</v>
      </c>
    </row>
    <row r="14" spans="1:12" x14ac:dyDescent="0.25">
      <c r="A14" s="3">
        <v>13.1</v>
      </c>
      <c r="B14" s="8">
        <v>5.7928240740740738E-2</v>
      </c>
      <c r="C14" s="9">
        <f t="shared" si="1"/>
        <v>83.416666666666671</v>
      </c>
    </row>
    <row r="15" spans="1:12" x14ac:dyDescent="0.25">
      <c r="A15" s="3">
        <v>26.2</v>
      </c>
      <c r="B15" s="8">
        <v>0.12152777777777778</v>
      </c>
      <c r="C15" s="9">
        <f t="shared" si="1"/>
        <v>175</v>
      </c>
    </row>
    <row r="17" spans="1:3" x14ac:dyDescent="0.25">
      <c r="A17" t="s">
        <v>16</v>
      </c>
    </row>
    <row r="18" spans="1:3" x14ac:dyDescent="0.25">
      <c r="A18" s="3">
        <v>0.5</v>
      </c>
      <c r="B18" s="8">
        <v>2.0370370370370373E-3</v>
      </c>
      <c r="C18" s="9">
        <f t="shared" ref="C18:C23" si="2">HOUR(B18)*60+MINUTE(B18)+SECOND(B18)/60</f>
        <v>2.9333333333333336</v>
      </c>
    </row>
    <row r="19" spans="1:3" x14ac:dyDescent="0.25">
      <c r="A19" s="3">
        <v>1</v>
      </c>
      <c r="B19" s="8">
        <v>4.1203703703703706E-3</v>
      </c>
      <c r="C19" s="9">
        <f t="shared" si="2"/>
        <v>5.9333333333333336</v>
      </c>
    </row>
    <row r="20" spans="1:3" x14ac:dyDescent="0.25">
      <c r="A20" s="3">
        <v>3.1</v>
      </c>
      <c r="B20" s="8">
        <v>1.4108796296296295E-2</v>
      </c>
      <c r="C20" s="9">
        <f t="shared" si="2"/>
        <v>20.316666666666666</v>
      </c>
    </row>
    <row r="21" spans="1:3" x14ac:dyDescent="0.25">
      <c r="A21" s="3">
        <v>6.2</v>
      </c>
      <c r="B21" s="8">
        <v>2.9351851851851851E-2</v>
      </c>
      <c r="C21" s="9">
        <f t="shared" si="2"/>
        <v>42.266666666666666</v>
      </c>
    </row>
    <row r="22" spans="1:3" x14ac:dyDescent="0.25">
      <c r="A22" s="3">
        <v>13.1</v>
      </c>
      <c r="B22" s="8">
        <v>6.4594907407407406E-2</v>
      </c>
      <c r="C22" s="9">
        <f t="shared" si="2"/>
        <v>93.016666666666666</v>
      </c>
    </row>
    <row r="23" spans="1:3" x14ac:dyDescent="0.25">
      <c r="A23" s="3">
        <v>26.2</v>
      </c>
      <c r="B23" s="8">
        <v>0.13541666666666666</v>
      </c>
      <c r="C23" s="9">
        <f t="shared" si="2"/>
        <v>195</v>
      </c>
    </row>
    <row r="25" spans="1:3" x14ac:dyDescent="0.25">
      <c r="A25" t="s">
        <v>18</v>
      </c>
    </row>
    <row r="26" spans="1:3" x14ac:dyDescent="0.25">
      <c r="A26" s="3">
        <v>0.5</v>
      </c>
      <c r="B26" s="8">
        <v>2.1875000000000002E-3</v>
      </c>
      <c r="C26" s="9">
        <f t="shared" ref="C26:C31" si="3">HOUR(B26)*60+MINUTE(B26)+SECOND(B26)/60</f>
        <v>3.15</v>
      </c>
    </row>
    <row r="27" spans="1:3" x14ac:dyDescent="0.25">
      <c r="A27" s="3">
        <v>1</v>
      </c>
      <c r="B27" s="8">
        <v>4.4444444444444444E-3</v>
      </c>
      <c r="C27" s="9">
        <f t="shared" si="3"/>
        <v>6.4</v>
      </c>
    </row>
    <row r="28" spans="1:3" x14ac:dyDescent="0.25">
      <c r="A28" s="3">
        <v>3.1</v>
      </c>
      <c r="B28" s="8">
        <v>1.5208333333333332E-2</v>
      </c>
      <c r="C28" s="9">
        <f t="shared" si="3"/>
        <v>21.9</v>
      </c>
    </row>
    <row r="29" spans="1:3" x14ac:dyDescent="0.25">
      <c r="A29" s="3">
        <v>6.2</v>
      </c>
      <c r="B29" s="8">
        <v>3.1631944444444442E-2</v>
      </c>
      <c r="C29" s="9">
        <f t="shared" si="3"/>
        <v>45.55</v>
      </c>
    </row>
    <row r="30" spans="1:3" x14ac:dyDescent="0.25">
      <c r="A30" s="3">
        <v>13.1</v>
      </c>
      <c r="B30" s="8">
        <v>6.9594907407407411E-2</v>
      </c>
      <c r="C30" s="9">
        <f t="shared" si="3"/>
        <v>100.21666666666667</v>
      </c>
    </row>
    <row r="31" spans="1:3" x14ac:dyDescent="0.25">
      <c r="A31" s="3">
        <v>26.2</v>
      </c>
      <c r="B31" s="8">
        <v>0.14583333333333334</v>
      </c>
      <c r="C31" s="9">
        <f t="shared" si="3"/>
        <v>210</v>
      </c>
    </row>
    <row r="33" spans="1:3" x14ac:dyDescent="0.25">
      <c r="A33" t="s">
        <v>17</v>
      </c>
    </row>
    <row r="34" spans="1:3" x14ac:dyDescent="0.25">
      <c r="A34" s="3">
        <v>0.5</v>
      </c>
      <c r="B34" s="8">
        <v>2.4074074074074076E-3</v>
      </c>
      <c r="C34" s="9">
        <f t="shared" ref="C34:C39" si="4">HOUR(B34)*60+MINUTE(B34)+SECOND(B34)/60</f>
        <v>3.4666666666666668</v>
      </c>
    </row>
    <row r="35" spans="1:3" x14ac:dyDescent="0.25">
      <c r="A35" s="3">
        <v>1</v>
      </c>
      <c r="B35" s="8">
        <v>4.8726851851851856E-3</v>
      </c>
      <c r="C35" s="9">
        <f t="shared" si="4"/>
        <v>7.0166666666666666</v>
      </c>
    </row>
    <row r="36" spans="1:3" x14ac:dyDescent="0.25">
      <c r="A36" s="3">
        <v>3.1</v>
      </c>
      <c r="B36" s="8">
        <v>1.6666666666666666E-2</v>
      </c>
      <c r="C36" s="9">
        <f t="shared" si="4"/>
        <v>24</v>
      </c>
    </row>
    <row r="37" spans="1:3" x14ac:dyDescent="0.25">
      <c r="A37" s="3">
        <v>6.2</v>
      </c>
      <c r="B37" s="8">
        <v>3.4664351851851849E-2</v>
      </c>
      <c r="C37" s="9">
        <f t="shared" si="4"/>
        <v>49.916666666666664</v>
      </c>
    </row>
    <row r="38" spans="1:3" x14ac:dyDescent="0.25">
      <c r="A38" s="3">
        <v>13.1</v>
      </c>
      <c r="B38" s="8">
        <v>7.6284722222222226E-2</v>
      </c>
      <c r="C38" s="9">
        <f t="shared" si="4"/>
        <v>109.85</v>
      </c>
    </row>
    <row r="39" spans="1:3" x14ac:dyDescent="0.25">
      <c r="A39" s="3">
        <v>26.2</v>
      </c>
      <c r="B39" s="8">
        <v>0.15972222222222224</v>
      </c>
      <c r="C39" s="9">
        <f t="shared" si="4"/>
        <v>230</v>
      </c>
    </row>
  </sheetData>
  <phoneticPr fontId="0" type="noConversion"/>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Harrier Training Plan</vt:lpstr>
      <vt:lpstr>Pace Chart</vt:lpstr>
      <vt:lpstr>Definitions &amp; Recommendations</vt:lpstr>
      <vt:lpstr>Sheet3</vt:lpstr>
      <vt:lpstr>Distance_Pct</vt:lpstr>
      <vt:lpstr>'Harrier Training Plan'!Print_Area</vt:lpstr>
      <vt:lpstr>'Harrier Training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Bartucca, Scott</cp:lastModifiedBy>
  <cp:lastPrinted>2012-08-05T13:16:06Z</cp:lastPrinted>
  <dcterms:created xsi:type="dcterms:W3CDTF">2009-10-22T12:53:27Z</dcterms:created>
  <dcterms:modified xsi:type="dcterms:W3CDTF">2020-01-16T22:40:47Z</dcterms:modified>
</cp:coreProperties>
</file>