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broadcastmusicinc-my.sharepoint.com/personal/sbartucca_bmi_com/Documents/Documents/"/>
    </mc:Choice>
  </mc:AlternateContent>
  <xr:revisionPtr revIDLastSave="78" documentId="8_{ACCCC5C4-991D-4B90-B917-E9AA7E950A62}" xr6:coauthVersionLast="47" xr6:coauthVersionMax="47" xr10:uidLastSave="{208FD8D3-19B1-4E15-88E3-93A6FDBC5EC6}"/>
  <bookViews>
    <workbookView xWindow="-120" yWindow="-120" windowWidth="24240" windowHeight="13140" activeTab="1" xr2:uid="{00000000-000D-0000-FFFF-FFFF00000000}"/>
  </bookViews>
  <sheets>
    <sheet name="NYC Marathon" sheetId="1" r:id="rId1"/>
    <sheet name="Chicago Marathon" sheetId="3" r:id="rId2"/>
    <sheet name="Pace Chart" sheetId="4" r:id="rId3"/>
    <sheet name="Definitions &amp; Recommendations" sheetId="5" r:id="rId4"/>
    <sheet name="Data Fit" sheetId="6" r:id="rId5"/>
  </sheets>
  <definedNames>
    <definedName name="Distance_Pct" localSheetId="1">'Chicago Marathon'!$B$10</definedName>
    <definedName name="Distance_Pct">'NYC Marathon'!$B$10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9" i="3" l="1"/>
  <c r="L72" i="1"/>
  <c r="C39" i="6" l="1"/>
  <c r="C38" i="6"/>
  <c r="C37" i="6"/>
  <c r="C36" i="6"/>
  <c r="C35" i="6"/>
  <c r="C34" i="6"/>
  <c r="C31" i="6"/>
  <c r="C30" i="6"/>
  <c r="C29" i="6"/>
  <c r="C28" i="6"/>
  <c r="C27" i="6"/>
  <c r="C26" i="6"/>
  <c r="C23" i="6"/>
  <c r="C22" i="6"/>
  <c r="C21" i="6"/>
  <c r="C20" i="6"/>
  <c r="C19" i="6"/>
  <c r="C18" i="6"/>
  <c r="C15" i="6"/>
  <c r="C14" i="6"/>
  <c r="C13" i="6"/>
  <c r="C12" i="6"/>
  <c r="C11" i="6"/>
  <c r="C10" i="6"/>
  <c r="C7" i="6"/>
  <c r="G6" i="6"/>
  <c r="C6" i="6"/>
  <c r="G5" i="6"/>
  <c r="C5" i="6"/>
  <c r="G4" i="6"/>
  <c r="C4" i="6"/>
  <c r="G3" i="6"/>
  <c r="C3" i="6"/>
  <c r="G2" i="6"/>
  <c r="C2" i="6"/>
  <c r="C14" i="4"/>
  <c r="D14" i="4" s="1"/>
  <c r="D12" i="4" s="1"/>
  <c r="H103" i="3"/>
  <c r="G103" i="3"/>
  <c r="I102" i="3"/>
  <c r="G102" i="3"/>
  <c r="E102" i="3"/>
  <c r="D102" i="3"/>
  <c r="I101" i="3"/>
  <c r="H101" i="3"/>
  <c r="G101" i="3"/>
  <c r="D101" i="3"/>
  <c r="F100" i="3"/>
  <c r="D100" i="3"/>
  <c r="C100" i="3"/>
  <c r="B100" i="3"/>
  <c r="I99" i="3"/>
  <c r="G99" i="3" s="1"/>
  <c r="F99" i="3" s="1"/>
  <c r="D99" i="3" s="1"/>
  <c r="C99" i="3" s="1"/>
  <c r="B99" i="3" s="1"/>
  <c r="L92" i="3" s="1"/>
  <c r="I92" i="3" s="1"/>
  <c r="G92" i="3" s="1"/>
  <c r="F92" i="3" s="1"/>
  <c r="D92" i="3" s="1"/>
  <c r="C92" i="3" s="1"/>
  <c r="B92" i="3" s="1"/>
  <c r="L85" i="3" s="1"/>
  <c r="I85" i="3" s="1"/>
  <c r="G85" i="3" s="1"/>
  <c r="F85" i="3" s="1"/>
  <c r="D85" i="3" s="1"/>
  <c r="C85" i="3" s="1"/>
  <c r="B85" i="3" s="1"/>
  <c r="L78" i="3" s="1"/>
  <c r="I78" i="3" s="1"/>
  <c r="G78" i="3" s="1"/>
  <c r="F78" i="3" s="1"/>
  <c r="H96" i="3"/>
  <c r="G96" i="3"/>
  <c r="I95" i="3"/>
  <c r="G95" i="3"/>
  <c r="E95" i="3"/>
  <c r="D95" i="3"/>
  <c r="H94" i="3"/>
  <c r="G94" i="3"/>
  <c r="D94" i="3"/>
  <c r="K93" i="3"/>
  <c r="P92" i="3" s="1"/>
  <c r="J93" i="3"/>
  <c r="O92" i="3" s="1"/>
  <c r="I93" i="3"/>
  <c r="G93" i="3"/>
  <c r="F93" i="3"/>
  <c r="D93" i="3"/>
  <c r="C93" i="3"/>
  <c r="H89" i="3"/>
  <c r="G89" i="3"/>
  <c r="I88" i="3"/>
  <c r="G88" i="3"/>
  <c r="E88" i="3"/>
  <c r="D88" i="3"/>
  <c r="H87" i="3"/>
  <c r="G87" i="3"/>
  <c r="D87" i="3"/>
  <c r="K86" i="3"/>
  <c r="P85" i="3" s="1"/>
  <c r="J86" i="3"/>
  <c r="O85" i="3" s="1"/>
  <c r="I86" i="3"/>
  <c r="G86" i="3"/>
  <c r="F86" i="3"/>
  <c r="D86" i="3"/>
  <c r="C86" i="3"/>
  <c r="H82" i="3"/>
  <c r="G82" i="3"/>
  <c r="G81" i="3"/>
  <c r="D81" i="3"/>
  <c r="H80" i="3"/>
  <c r="G80" i="3"/>
  <c r="D80" i="3"/>
  <c r="K79" i="3"/>
  <c r="P78" i="3" s="1"/>
  <c r="J79" i="3"/>
  <c r="G79" i="3"/>
  <c r="H75" i="3"/>
  <c r="G75" i="3"/>
  <c r="G74" i="3"/>
  <c r="H73" i="3"/>
  <c r="G73" i="3"/>
  <c r="L72" i="3"/>
  <c r="K72" i="3"/>
  <c r="P71" i="3" s="1"/>
  <c r="J72" i="3"/>
  <c r="O71" i="3" s="1"/>
  <c r="G72" i="3"/>
  <c r="K58" i="3"/>
  <c r="P57" i="3" s="1"/>
  <c r="J58" i="3"/>
  <c r="G58" i="3"/>
  <c r="K44" i="3"/>
  <c r="P43" i="3" s="1"/>
  <c r="J44" i="3"/>
  <c r="O43" i="3" s="1"/>
  <c r="K30" i="3"/>
  <c r="P29" i="3" s="1"/>
  <c r="K23" i="3"/>
  <c r="P22" i="3" s="1"/>
  <c r="J23" i="3"/>
  <c r="O22" i="3" s="1"/>
  <c r="A22" i="3"/>
  <c r="A29" i="3" s="1"/>
  <c r="A36" i="3" s="1"/>
  <c r="A43" i="3" s="1"/>
  <c r="A50" i="3" s="1"/>
  <c r="A57" i="3" s="1"/>
  <c r="A64" i="3" s="1"/>
  <c r="A71" i="3" s="1"/>
  <c r="A78" i="3" s="1"/>
  <c r="A85" i="3" s="1"/>
  <c r="A92" i="3" s="1"/>
  <c r="A99" i="3" s="1"/>
  <c r="A106" i="3" s="1"/>
  <c r="A113" i="3" s="1"/>
  <c r="A120" i="3" s="1"/>
  <c r="A127" i="3" s="1"/>
  <c r="L127" i="1"/>
  <c r="L122" i="1"/>
  <c r="L94" i="3" s="1"/>
  <c r="P120" i="1"/>
  <c r="O120" i="1"/>
  <c r="L115" i="1"/>
  <c r="L87" i="3" s="1"/>
  <c r="P113" i="1"/>
  <c r="O113" i="1"/>
  <c r="L108" i="1"/>
  <c r="P106" i="1"/>
  <c r="O106" i="1"/>
  <c r="L101" i="1"/>
  <c r="P99" i="1"/>
  <c r="O99" i="1"/>
  <c r="P85" i="1"/>
  <c r="O85" i="1"/>
  <c r="P71" i="1"/>
  <c r="O71" i="1"/>
  <c r="P57" i="1"/>
  <c r="L52" i="1"/>
  <c r="P50" i="1"/>
  <c r="Q50" i="1" s="1"/>
  <c r="P29" i="1"/>
  <c r="Q29" i="1" s="1"/>
  <c r="O29" i="1"/>
  <c r="K23" i="1"/>
  <c r="J23" i="1"/>
  <c r="A22" i="1"/>
  <c r="A29" i="1" s="1"/>
  <c r="A36" i="1" s="1"/>
  <c r="A43" i="1" s="1"/>
  <c r="A50" i="1" s="1"/>
  <c r="A57" i="1" s="1"/>
  <c r="A64" i="1" s="1"/>
  <c r="A71" i="1" s="1"/>
  <c r="A78" i="1" s="1"/>
  <c r="A85" i="1" s="1"/>
  <c r="A92" i="1" s="1"/>
  <c r="A99" i="1" s="1"/>
  <c r="A106" i="1" s="1"/>
  <c r="A113" i="1" s="1"/>
  <c r="A120" i="1" s="1"/>
  <c r="A127" i="1" s="1"/>
  <c r="L17" i="1"/>
  <c r="P15" i="1"/>
  <c r="O15" i="1"/>
  <c r="D78" i="3" l="1"/>
  <c r="C78" i="3" s="1"/>
  <c r="B78" i="3" s="1"/>
  <c r="L71" i="3" s="1"/>
  <c r="I71" i="3" s="1"/>
  <c r="G71" i="3" s="1"/>
  <c r="F71" i="3" s="1"/>
  <c r="D71" i="3" s="1"/>
  <c r="C71" i="3" s="1"/>
  <c r="B71" i="3" s="1"/>
  <c r="L64" i="3" s="1"/>
  <c r="I64" i="3" s="1"/>
  <c r="G64" i="3" s="1"/>
  <c r="F64" i="3" s="1"/>
  <c r="D64" i="3" s="1"/>
  <c r="C64" i="3" s="1"/>
  <c r="B64" i="3" s="1"/>
  <c r="L57" i="3" s="1"/>
  <c r="I57" i="3" s="1"/>
  <c r="G57" i="3" s="1"/>
  <c r="F57" i="3" s="1"/>
  <c r="D57" i="3" s="1"/>
  <c r="C57" i="3" s="1"/>
  <c r="B57" i="3" s="1"/>
  <c r="L50" i="3" s="1"/>
  <c r="I50" i="3" s="1"/>
  <c r="G50" i="3" s="1"/>
  <c r="F50" i="3" s="1"/>
  <c r="D50" i="3" s="1"/>
  <c r="C50" i="3" s="1"/>
  <c r="B50" i="3" s="1"/>
  <c r="L43" i="3" s="1"/>
  <c r="I43" i="3" s="1"/>
  <c r="G43" i="3" s="1"/>
  <c r="F43" i="3" s="1"/>
  <c r="D43" i="3" s="1"/>
  <c r="C43" i="3" s="1"/>
  <c r="B43" i="3" s="1"/>
  <c r="L36" i="3" s="1"/>
  <c r="I36" i="3" s="1"/>
  <c r="G36" i="3" s="1"/>
  <c r="F36" i="3" s="1"/>
  <c r="D36" i="3" s="1"/>
  <c r="C36" i="3" s="1"/>
  <c r="B36" i="3" s="1"/>
  <c r="L29" i="3" s="1"/>
  <c r="I29" i="3" s="1"/>
  <c r="G29" i="3" s="1"/>
  <c r="F29" i="3" s="1"/>
  <c r="D29" i="3" s="1"/>
  <c r="C29" i="3" s="1"/>
  <c r="B29" i="3" s="1"/>
  <c r="L22" i="3" s="1"/>
  <c r="I22" i="3" s="1"/>
  <c r="G22" i="3" s="1"/>
  <c r="F22" i="3" s="1"/>
  <c r="D22" i="3" s="1"/>
  <c r="C22" i="3" s="1"/>
  <c r="B22" i="3" s="1"/>
  <c r="L15" i="3" s="1"/>
  <c r="I15" i="3" s="1"/>
  <c r="G15" i="3" s="1"/>
  <c r="F15" i="3" s="1"/>
  <c r="D15" i="3" s="1"/>
  <c r="C15" i="3" s="1"/>
  <c r="B15" i="3" s="1"/>
  <c r="Q106" i="1"/>
  <c r="Q85" i="1"/>
  <c r="Q113" i="1"/>
  <c r="Q99" i="1"/>
  <c r="L24" i="1"/>
  <c r="Q71" i="1"/>
  <c r="Q120" i="1"/>
  <c r="Q43" i="3"/>
  <c r="L45" i="3"/>
  <c r="Q85" i="3"/>
  <c r="Q92" i="3"/>
  <c r="Q15" i="1"/>
  <c r="Q71" i="3"/>
  <c r="D8" i="4"/>
  <c r="C8" i="4" s="1"/>
  <c r="L127" i="3"/>
  <c r="I127" i="3" s="1"/>
  <c r="G127" i="3" s="1"/>
  <c r="F127" i="3" s="1"/>
  <c r="D127" i="3" s="1"/>
  <c r="C127" i="3" s="1"/>
  <c r="B127" i="3" s="1"/>
  <c r="L120" i="3" s="1"/>
  <c r="I120" i="3" s="1"/>
  <c r="G120" i="3" s="1"/>
  <c r="F120" i="3" s="1"/>
  <c r="D120" i="3" s="1"/>
  <c r="C120" i="3" s="1"/>
  <c r="B120" i="3" s="1"/>
  <c r="L113" i="3" s="1"/>
  <c r="I113" i="3" s="1"/>
  <c r="G113" i="3" s="1"/>
  <c r="F113" i="3" s="1"/>
  <c r="D113" i="3" s="1"/>
  <c r="C113" i="3" s="1"/>
  <c r="B113" i="3" s="1"/>
  <c r="L106" i="3" s="1"/>
  <c r="I106" i="3" s="1"/>
  <c r="G106" i="3" s="1"/>
  <c r="F106" i="3" s="1"/>
  <c r="D106" i="3" s="1"/>
  <c r="C106" i="3" s="1"/>
  <c r="B106" i="3" s="1"/>
  <c r="I127" i="1"/>
  <c r="G127" i="1" s="1"/>
  <c r="F127" i="1" s="1"/>
  <c r="D127" i="1" s="1"/>
  <c r="C127" i="1" s="1"/>
  <c r="B127" i="1" s="1"/>
  <c r="L120" i="1" s="1"/>
  <c r="I120" i="1" s="1"/>
  <c r="G120" i="1" s="1"/>
  <c r="F120" i="1" s="1"/>
  <c r="D120" i="1" s="1"/>
  <c r="C120" i="1" s="1"/>
  <c r="B120" i="1" s="1"/>
  <c r="L113" i="1" s="1"/>
  <c r="I113" i="1" s="1"/>
  <c r="G113" i="1" s="1"/>
  <c r="F113" i="1" s="1"/>
  <c r="D113" i="1" s="1"/>
  <c r="C113" i="1" s="1"/>
  <c r="B113" i="1" s="1"/>
  <c r="L106" i="1" s="1"/>
  <c r="I106" i="1" s="1"/>
  <c r="G106" i="1" s="1"/>
  <c r="F106" i="1" s="1"/>
  <c r="D106" i="1" s="1"/>
  <c r="C106" i="1" s="1"/>
  <c r="B106" i="1" s="1"/>
  <c r="L99" i="1" s="1"/>
  <c r="I99" i="1" s="1"/>
  <c r="G99" i="1" s="1"/>
  <c r="F99" i="1" s="1"/>
  <c r="D99" i="1" s="1"/>
  <c r="C99" i="1" s="1"/>
  <c r="B99" i="1" s="1"/>
  <c r="L92" i="1" s="1"/>
  <c r="I92" i="1" s="1"/>
  <c r="G92" i="1" s="1"/>
  <c r="F92" i="1" s="1"/>
  <c r="D92" i="1" s="1"/>
  <c r="C92" i="1" s="1"/>
  <c r="B92" i="1" s="1"/>
  <c r="L85" i="1" s="1"/>
  <c r="I85" i="1" s="1"/>
  <c r="G85" i="1" s="1"/>
  <c r="F85" i="1" s="1"/>
  <c r="D85" i="1" s="1"/>
  <c r="C85" i="1" s="1"/>
  <c r="B85" i="1" s="1"/>
  <c r="L78" i="1" s="1"/>
  <c r="I78" i="1" s="1"/>
  <c r="G78" i="1" s="1"/>
  <c r="F78" i="1" s="1"/>
  <c r="D78" i="1" s="1"/>
  <c r="C78" i="1" s="1"/>
  <c r="B78" i="1" s="1"/>
  <c r="L71" i="1" s="1"/>
  <c r="I71" i="1" s="1"/>
  <c r="G71" i="1" s="1"/>
  <c r="F71" i="1" s="1"/>
  <c r="D71" i="1" s="1"/>
  <c r="C71" i="1" s="1"/>
  <c r="B71" i="1" s="1"/>
  <c r="L64" i="1" s="1"/>
  <c r="I64" i="1" s="1"/>
  <c r="G64" i="1" s="1"/>
  <c r="F64" i="1" s="1"/>
  <c r="D64" i="1" s="1"/>
  <c r="C64" i="1" s="1"/>
  <c r="B64" i="1" s="1"/>
  <c r="L57" i="1" s="1"/>
  <c r="I57" i="1" s="1"/>
  <c r="G57" i="1" s="1"/>
  <c r="F57" i="1" s="1"/>
  <c r="D57" i="1" s="1"/>
  <c r="C57" i="1" s="1"/>
  <c r="B57" i="1" s="1"/>
  <c r="L50" i="1" s="1"/>
  <c r="I50" i="1" s="1"/>
  <c r="G50" i="1" s="1"/>
  <c r="F50" i="1" s="1"/>
  <c r="D50" i="1" s="1"/>
  <c r="C50" i="1" s="1"/>
  <c r="B50" i="1" s="1"/>
  <c r="L43" i="1" s="1"/>
  <c r="I43" i="1" s="1"/>
  <c r="G43" i="1" s="1"/>
  <c r="F43" i="1" s="1"/>
  <c r="D43" i="1" s="1"/>
  <c r="C43" i="1" s="1"/>
  <c r="B43" i="1" s="1"/>
  <c r="L36" i="1" s="1"/>
  <c r="I36" i="1" s="1"/>
  <c r="G36" i="1" s="1"/>
  <c r="F36" i="1" s="1"/>
  <c r="D36" i="1" s="1"/>
  <c r="C36" i="1" s="1"/>
  <c r="B36" i="1" s="1"/>
  <c r="L29" i="1" s="1"/>
  <c r="I29" i="1" s="1"/>
  <c r="G29" i="1" s="1"/>
  <c r="F29" i="1" s="1"/>
  <c r="D29" i="1" s="1"/>
  <c r="C29" i="1" s="1"/>
  <c r="B29" i="1" s="1"/>
  <c r="L22" i="1" s="1"/>
  <c r="I22" i="1" s="1"/>
  <c r="G22" i="1" s="1"/>
  <c r="F22" i="1" s="1"/>
  <c r="D22" i="1" s="1"/>
  <c r="C22" i="1" s="1"/>
  <c r="B22" i="1" s="1"/>
  <c r="L15" i="1" s="1"/>
  <c r="I15" i="1" s="1"/>
  <c r="G15" i="1" s="1"/>
  <c r="F15" i="1" s="1"/>
  <c r="D15" i="1" s="1"/>
  <c r="C15" i="1" s="1"/>
  <c r="B15" i="1" s="1"/>
  <c r="O78" i="3"/>
  <c r="Q78" i="3" s="1"/>
  <c r="L80" i="3"/>
  <c r="L73" i="3"/>
  <c r="O22" i="1"/>
  <c r="J37" i="1"/>
  <c r="J44" i="1" s="1"/>
  <c r="P22" i="1"/>
  <c r="K37" i="1"/>
  <c r="L73" i="1"/>
  <c r="L59" i="3"/>
  <c r="O57" i="3"/>
  <c r="Q57" i="3" s="1"/>
  <c r="Q22" i="3"/>
  <c r="L24" i="3"/>
  <c r="C12" i="4"/>
  <c r="D18" i="4"/>
  <c r="F12" i="4"/>
  <c r="F14" i="4"/>
  <c r="D13" i="4"/>
  <c r="D9" i="4"/>
  <c r="D20" i="4"/>
  <c r="F20" i="4" s="1"/>
  <c r="D10" i="4"/>
  <c r="D11" i="4"/>
  <c r="D7" i="4"/>
  <c r="D21" i="4"/>
  <c r="F21" i="4" s="1"/>
  <c r="D16" i="4" l="1"/>
  <c r="Q22" i="1"/>
  <c r="F8" i="4"/>
  <c r="I8" i="4" s="1"/>
  <c r="F11" i="4"/>
  <c r="C11" i="4"/>
  <c r="C13" i="4"/>
  <c r="F13" i="4"/>
  <c r="D19" i="4"/>
  <c r="F19" i="4" s="1"/>
  <c r="J14" i="4"/>
  <c r="I14" i="4"/>
  <c r="F31" i="4"/>
  <c r="H95" i="1" s="1"/>
  <c r="H14" i="4"/>
  <c r="G14" i="4"/>
  <c r="H21" i="4"/>
  <c r="G21" i="4"/>
  <c r="J21" i="4"/>
  <c r="F34" i="4"/>
  <c r="I21" i="4"/>
  <c r="H12" i="4"/>
  <c r="F24" i="4"/>
  <c r="G12" i="4"/>
  <c r="J12" i="4"/>
  <c r="I12" i="4"/>
  <c r="C16" i="4"/>
  <c r="F16" i="4"/>
  <c r="J16" i="3"/>
  <c r="O43" i="1"/>
  <c r="F10" i="4"/>
  <c r="C10" i="4"/>
  <c r="K44" i="1"/>
  <c r="P36" i="1"/>
  <c r="J58" i="1"/>
  <c r="J65" i="1" s="1"/>
  <c r="J20" i="4"/>
  <c r="F32" i="4"/>
  <c r="I20" i="4"/>
  <c r="H20" i="4"/>
  <c r="G20" i="4"/>
  <c r="F7" i="4"/>
  <c r="F29" i="4" s="1"/>
  <c r="D15" i="4"/>
  <c r="C7" i="4"/>
  <c r="D17" i="4"/>
  <c r="C9" i="4"/>
  <c r="F9" i="4"/>
  <c r="F18" i="4"/>
  <c r="C18" i="4"/>
  <c r="F25" i="4"/>
  <c r="E75" i="3" s="1"/>
  <c r="H8" i="4"/>
  <c r="G8" i="4"/>
  <c r="O36" i="1"/>
  <c r="L38" i="1"/>
  <c r="Q36" i="1" l="1"/>
  <c r="J8" i="4"/>
  <c r="N52" i="3"/>
  <c r="N59" i="3"/>
  <c r="N66" i="3"/>
  <c r="N94" i="1"/>
  <c r="N87" i="1"/>
  <c r="N59" i="1"/>
  <c r="E67" i="1"/>
  <c r="E67" i="3"/>
  <c r="H88" i="1"/>
  <c r="E87" i="1"/>
  <c r="I9" i="4"/>
  <c r="H9" i="4"/>
  <c r="F27" i="4"/>
  <c r="E45" i="3" s="1"/>
  <c r="G9" i="4"/>
  <c r="J9" i="4"/>
  <c r="K16" i="3"/>
  <c r="P15" i="3" s="1"/>
  <c r="P43" i="1"/>
  <c r="E95" i="1"/>
  <c r="G11" i="4"/>
  <c r="F28" i="4"/>
  <c r="J11" i="4"/>
  <c r="I11" i="4"/>
  <c r="H11" i="4"/>
  <c r="J30" i="3"/>
  <c r="L59" i="1"/>
  <c r="O57" i="1"/>
  <c r="Q57" i="1" s="1"/>
  <c r="K65" i="1"/>
  <c r="L66" i="1" s="1"/>
  <c r="L45" i="1"/>
  <c r="N101" i="3"/>
  <c r="N74" i="3"/>
  <c r="N25" i="3"/>
  <c r="N39" i="3"/>
  <c r="E122" i="1"/>
  <c r="E94" i="3" s="1"/>
  <c r="N109" i="1"/>
  <c r="E129" i="1"/>
  <c r="E101" i="3" s="1"/>
  <c r="H116" i="1"/>
  <c r="H88" i="3" s="1"/>
  <c r="H109" i="1"/>
  <c r="H81" i="3" s="1"/>
  <c r="H102" i="1"/>
  <c r="H74" i="3" s="1"/>
  <c r="E101" i="1"/>
  <c r="N46" i="1"/>
  <c r="N39" i="1"/>
  <c r="H130" i="1"/>
  <c r="H102" i="3" s="1"/>
  <c r="H123" i="1"/>
  <c r="N130" i="1"/>
  <c r="E115" i="1"/>
  <c r="E87" i="3" s="1"/>
  <c r="H74" i="1"/>
  <c r="N67" i="1"/>
  <c r="I13" i="4"/>
  <c r="H13" i="4"/>
  <c r="G13" i="4"/>
  <c r="F30" i="4"/>
  <c r="J13" i="4"/>
  <c r="J79" i="1"/>
  <c r="J93" i="1" s="1"/>
  <c r="C17" i="4"/>
  <c r="F17" i="4"/>
  <c r="O15" i="3"/>
  <c r="E75" i="1"/>
  <c r="F15" i="4"/>
  <c r="C15" i="4"/>
  <c r="Q43" i="1"/>
  <c r="F33" i="4"/>
  <c r="I38" i="3" s="1"/>
  <c r="H19" i="4"/>
  <c r="G19" i="4"/>
  <c r="J19" i="4"/>
  <c r="I19" i="4"/>
  <c r="J37" i="3"/>
  <c r="O64" i="1"/>
  <c r="J18" i="4"/>
  <c r="I18" i="4"/>
  <c r="H18" i="4"/>
  <c r="G18" i="4"/>
  <c r="F38" i="4"/>
  <c r="E109" i="1"/>
  <c r="E81" i="3" s="1"/>
  <c r="J10" i="4"/>
  <c r="I10" i="4"/>
  <c r="H10" i="4"/>
  <c r="F26" i="4"/>
  <c r="E24" i="3" s="1"/>
  <c r="G10" i="4"/>
  <c r="H16" i="4"/>
  <c r="F36" i="4"/>
  <c r="G16" i="4"/>
  <c r="J16" i="4"/>
  <c r="I16" i="4"/>
  <c r="N17" i="3"/>
  <c r="N24" i="3"/>
  <c r="N122" i="1"/>
  <c r="N94" i="3" s="1"/>
  <c r="N38" i="3"/>
  <c r="N115" i="1"/>
  <c r="N87" i="3" s="1"/>
  <c r="N45" i="1"/>
  <c r="N38" i="1"/>
  <c r="N24" i="1"/>
  <c r="N108" i="1"/>
  <c r="N80" i="3" s="1"/>
  <c r="N101" i="1"/>
  <c r="N17" i="1"/>
  <c r="N45" i="3"/>
  <c r="N52" i="1"/>
  <c r="N66" i="1"/>
  <c r="L31" i="3" l="1"/>
  <c r="L31" i="1"/>
  <c r="E17" i="3"/>
  <c r="E24" i="1"/>
  <c r="E31" i="3"/>
  <c r="E66" i="3"/>
  <c r="E73" i="3"/>
  <c r="L17" i="3"/>
  <c r="Q15" i="3"/>
  <c r="E80" i="1"/>
  <c r="E66" i="1"/>
  <c r="N80" i="1"/>
  <c r="E31" i="1"/>
  <c r="E17" i="1"/>
  <c r="E45" i="1"/>
  <c r="J65" i="3"/>
  <c r="O64" i="3" s="1"/>
  <c r="O92" i="1"/>
  <c r="C80" i="3"/>
  <c r="F73" i="3"/>
  <c r="C66" i="3"/>
  <c r="C59" i="3"/>
  <c r="F52" i="3"/>
  <c r="F80" i="3"/>
  <c r="I80" i="3"/>
  <c r="C73" i="3"/>
  <c r="F66" i="3"/>
  <c r="F59" i="3"/>
  <c r="C52" i="3"/>
  <c r="B38" i="3"/>
  <c r="I31" i="3"/>
  <c r="B31" i="3"/>
  <c r="C24" i="3"/>
  <c r="I73" i="3"/>
  <c r="B73" i="3"/>
  <c r="I66" i="3"/>
  <c r="B59" i="3"/>
  <c r="I52" i="3"/>
  <c r="F31" i="3"/>
  <c r="F24" i="3"/>
  <c r="F17" i="3"/>
  <c r="B12" i="3"/>
  <c r="B80" i="3"/>
  <c r="F45" i="3"/>
  <c r="F38" i="3"/>
  <c r="C45" i="3"/>
  <c r="C17" i="3"/>
  <c r="F129" i="1"/>
  <c r="F101" i="3" s="1"/>
  <c r="I115" i="1"/>
  <c r="I87" i="3" s="1"/>
  <c r="B115" i="1"/>
  <c r="C108" i="1"/>
  <c r="I101" i="1"/>
  <c r="B45" i="3"/>
  <c r="I24" i="3"/>
  <c r="B17" i="3"/>
  <c r="C122" i="1"/>
  <c r="C94" i="3" s="1"/>
  <c r="F115" i="1"/>
  <c r="F87" i="3" s="1"/>
  <c r="I108" i="1"/>
  <c r="B108" i="1"/>
  <c r="F101" i="1"/>
  <c r="C129" i="1"/>
  <c r="C101" i="3" s="1"/>
  <c r="F122" i="1"/>
  <c r="F94" i="3" s="1"/>
  <c r="F80" i="1"/>
  <c r="C73" i="1"/>
  <c r="C66" i="1"/>
  <c r="C59" i="1"/>
  <c r="C52" i="1"/>
  <c r="F45" i="1"/>
  <c r="F38" i="1"/>
  <c r="I24" i="1"/>
  <c r="B24" i="1"/>
  <c r="I17" i="1"/>
  <c r="B17" i="1"/>
  <c r="C31" i="1"/>
  <c r="F24" i="1"/>
  <c r="I59" i="3"/>
  <c r="B24" i="3"/>
  <c r="I17" i="3"/>
  <c r="F59" i="1"/>
  <c r="B45" i="1"/>
  <c r="I122" i="1"/>
  <c r="I94" i="3" s="1"/>
  <c r="F94" i="1"/>
  <c r="F108" i="1"/>
  <c r="C101" i="1"/>
  <c r="C94" i="1"/>
  <c r="C87" i="1"/>
  <c r="I73" i="1"/>
  <c r="B73" i="1"/>
  <c r="I66" i="1"/>
  <c r="B66" i="1"/>
  <c r="I59" i="1"/>
  <c r="B59" i="1"/>
  <c r="I52" i="1"/>
  <c r="B52" i="1"/>
  <c r="C45" i="1"/>
  <c r="F17" i="1"/>
  <c r="C31" i="3"/>
  <c r="B101" i="1"/>
  <c r="I94" i="1"/>
  <c r="B94" i="1"/>
  <c r="I87" i="1"/>
  <c r="B87" i="1"/>
  <c r="C80" i="1"/>
  <c r="F73" i="1"/>
  <c r="F66" i="1"/>
  <c r="F52" i="1"/>
  <c r="C38" i="1"/>
  <c r="B31" i="1"/>
  <c r="C38" i="3"/>
  <c r="C115" i="1"/>
  <c r="C87" i="3" s="1"/>
  <c r="I80" i="1"/>
  <c r="B38" i="1"/>
  <c r="C24" i="1"/>
  <c r="C17" i="1"/>
  <c r="B12" i="1"/>
  <c r="F87" i="1"/>
  <c r="B80" i="1"/>
  <c r="F31" i="1"/>
  <c r="J51" i="3"/>
  <c r="O78" i="1"/>
  <c r="I45" i="3"/>
  <c r="E59" i="3"/>
  <c r="E94" i="1"/>
  <c r="E59" i="1"/>
  <c r="I45" i="1"/>
  <c r="K37" i="3"/>
  <c r="P36" i="3" s="1"/>
  <c r="P64" i="1"/>
  <c r="Q64" i="1" s="1"/>
  <c r="N73" i="3"/>
  <c r="N73" i="1"/>
  <c r="H95" i="3"/>
  <c r="K79" i="1"/>
  <c r="O36" i="3"/>
  <c r="G15" i="4"/>
  <c r="J15" i="4"/>
  <c r="F35" i="4"/>
  <c r="I15" i="4"/>
  <c r="H15" i="4"/>
  <c r="F37" i="4"/>
  <c r="I17" i="4"/>
  <c r="H17" i="4"/>
  <c r="G17" i="4"/>
  <c r="J17" i="4"/>
  <c r="H67" i="3"/>
  <c r="H60" i="3"/>
  <c r="E108" i="1"/>
  <c r="E80" i="3" s="1"/>
  <c r="E96" i="1"/>
  <c r="E73" i="1"/>
  <c r="O29" i="3"/>
  <c r="Q29" i="3" s="1"/>
  <c r="K51" i="3" l="1"/>
  <c r="P50" i="3" s="1"/>
  <c r="P78" i="1"/>
  <c r="K93" i="1"/>
  <c r="O50" i="3"/>
  <c r="Q36" i="3"/>
  <c r="L38" i="3"/>
  <c r="Q78" i="1"/>
  <c r="Q50" i="3" l="1"/>
  <c r="L52" i="3"/>
  <c r="K65" i="3"/>
  <c r="P64" i="3" s="1"/>
  <c r="Q64" i="3" s="1"/>
  <c r="P92" i="1"/>
  <c r="Q92" i="1" s="1"/>
</calcChain>
</file>

<file path=xl/sharedStrings.xml><?xml version="1.0" encoding="utf-8"?>
<sst xmlns="http://schemas.openxmlformats.org/spreadsheetml/2006/main" count="669" uniqueCount="196">
  <si>
    <r>
      <rPr>
        <b/>
        <sz val="12"/>
        <color rgb="FF0000FF"/>
        <rFont val="Noto Sans Symbols"/>
      </rPr>
      <t>Z</t>
    </r>
    <r>
      <rPr>
        <b/>
        <sz val="12"/>
        <color rgb="FF0000FF"/>
        <rFont val="Calibri"/>
        <family val="2"/>
      </rPr>
      <t xml:space="preserve"> INPUT YOUR GOAL MARATHON TIME (00:00:00)</t>
    </r>
  </si>
  <si>
    <r>
      <rPr>
        <b/>
        <sz val="12"/>
        <color rgb="FF0000FF"/>
        <rFont val="Noto Sans Symbols"/>
      </rPr>
      <t>Z</t>
    </r>
    <r>
      <rPr>
        <b/>
        <sz val="12"/>
        <color rgb="FF0000FF"/>
        <rFont val="Calibri"/>
        <family val="2"/>
      </rPr>
      <t xml:space="preserve"> INPUT YOUR TRAINING INTENSITY (0 = minimum recommended distance, 100 = maximum recommended distance)</t>
    </r>
  </si>
  <si>
    <r>
      <rPr>
        <b/>
        <sz val="12"/>
        <color rgb="FF0000FF"/>
        <rFont val="Noto Sans Symbols"/>
      </rPr>
      <t>Z</t>
    </r>
    <r>
      <rPr>
        <b/>
        <sz val="12"/>
        <color rgb="FF0000FF"/>
        <rFont val="Calibri"/>
        <family val="2"/>
      </rPr>
      <t xml:space="preserve"> MARATHON DATE</t>
    </r>
  </si>
  <si>
    <r>
      <rPr>
        <sz val="12"/>
        <rFont val="Noto Sans Symbols"/>
      </rPr>
      <t>Z</t>
    </r>
    <r>
      <rPr>
        <sz val="12"/>
        <rFont val="Calibri"/>
        <family val="2"/>
      </rPr>
      <t xml:space="preserve"> 2-4 days per week, 5-10 miles each</t>
    </r>
  </si>
  <si>
    <t>Wk</t>
  </si>
  <si>
    <t>Monday</t>
  </si>
  <si>
    <t>Tuesday</t>
  </si>
  <si>
    <t>Wednesday</t>
  </si>
  <si>
    <t>Thursday</t>
  </si>
  <si>
    <t>Friday</t>
  </si>
  <si>
    <t>Saturday</t>
  </si>
  <si>
    <t>LR Low</t>
  </si>
  <si>
    <t>LR High</t>
  </si>
  <si>
    <t>Sunday</t>
  </si>
  <si>
    <t>Weekly Low</t>
  </si>
  <si>
    <t>Weekly High</t>
  </si>
  <si>
    <t>WEEK MILES</t>
  </si>
  <si>
    <t>5-10M Run @</t>
  </si>
  <si>
    <t>Intervals</t>
  </si>
  <si>
    <t>Tempo Run</t>
  </si>
  <si>
    <t>Long Run</t>
  </si>
  <si>
    <t>1 mile warm-up @</t>
  </si>
  <si>
    <t>Jog</t>
  </si>
  <si>
    <t>OR Rest Day</t>
  </si>
  <si>
    <t>400m recovery @</t>
  </si>
  <si>
    <t>30 mins @</t>
  </si>
  <si>
    <t>Tempo</t>
  </si>
  <si>
    <t>OR Cross Train</t>
  </si>
  <si>
    <t>1 mile cool-down @</t>
  </si>
  <si>
    <t>Ladder: 2 sets</t>
  </si>
  <si>
    <t>400m-800m-1200m @</t>
  </si>
  <si>
    <t>20 min @</t>
  </si>
  <si>
    <t>Intervals: 6-8</t>
  </si>
  <si>
    <t>Rest Day or EZ Run</t>
  </si>
  <si>
    <t>Long Run + Intervals</t>
  </si>
  <si>
    <t>400m @</t>
  </si>
  <si>
    <t>1M, 2M @</t>
  </si>
  <si>
    <t>10 min recoveries @</t>
  </si>
  <si>
    <t>Harlem 5K</t>
  </si>
  <si>
    <t>8 x 4 min @</t>
  </si>
  <si>
    <t>5 min recoveries @</t>
  </si>
  <si>
    <t>200m recovery @</t>
  </si>
  <si>
    <t>Long Run + Long Interval</t>
  </si>
  <si>
    <t>including 30 min @</t>
  </si>
  <si>
    <t>Intervals: 8-10</t>
  </si>
  <si>
    <t>5 miles @</t>
  </si>
  <si>
    <t>or 'Fifth Ave Mile</t>
  </si>
  <si>
    <t>4 x 200m @</t>
  </si>
  <si>
    <t>Canova Intervals: 6-8</t>
  </si>
  <si>
    <t>800m @</t>
  </si>
  <si>
    <t>800m recovery @</t>
  </si>
  <si>
    <t>6 miles @</t>
  </si>
  <si>
    <t>Intervals: 3</t>
  </si>
  <si>
    <t>Bronx 10M</t>
  </si>
  <si>
    <t>1800m @</t>
  </si>
  <si>
    <t>600m recovery @</t>
  </si>
  <si>
    <t>22M @</t>
  </si>
  <si>
    <t>1200m @</t>
  </si>
  <si>
    <t>200-400m recovery @</t>
  </si>
  <si>
    <t>1600m @</t>
  </si>
  <si>
    <t>3 min recovery @</t>
  </si>
  <si>
    <t>6M @</t>
  </si>
  <si>
    <t xml:space="preserve">Death Loops: 3 Sets  </t>
  </si>
  <si>
    <t>1.7M @</t>
  </si>
  <si>
    <t>8M @</t>
  </si>
  <si>
    <t>Intervals: 2</t>
  </si>
  <si>
    <t>10M @</t>
  </si>
  <si>
    <t>Rest Day</t>
  </si>
  <si>
    <t>Intervals: 4</t>
  </si>
  <si>
    <t>4-6M Run @</t>
  </si>
  <si>
    <t>"Last 10" Long Run</t>
  </si>
  <si>
    <t>24-32
(NOT INCLUDING MARATHON)</t>
  </si>
  <si>
    <t>5-7M Run @</t>
  </si>
  <si>
    <t>EZ Run</t>
  </si>
  <si>
    <t>1 mile @</t>
  </si>
  <si>
    <t>REST OR</t>
  </si>
  <si>
    <t>Marathon Day</t>
  </si>
  <si>
    <t>1-2 mile jog</t>
  </si>
  <si>
    <t>26.2 miles @</t>
  </si>
  <si>
    <t>10 Miles @</t>
  </si>
  <si>
    <t>3 min recoveries @</t>
  </si>
  <si>
    <r>
      <rPr>
        <b/>
        <sz val="12"/>
        <color rgb="FF0000FF"/>
        <rFont val="Noto Sans Symbols"/>
      </rPr>
      <t>Z</t>
    </r>
    <r>
      <rPr>
        <b/>
        <sz val="12"/>
        <color rgb="FF0000FF"/>
        <rFont val="Calibri"/>
        <family val="2"/>
      </rPr>
      <t xml:space="preserve"> INPUT YOUR GOAL MARATHON TIME (00:00:00)</t>
    </r>
  </si>
  <si>
    <r>
      <rPr>
        <b/>
        <sz val="12"/>
        <color rgb="FF0000FF"/>
        <rFont val="Noto Sans Symbols"/>
      </rPr>
      <t>Z</t>
    </r>
    <r>
      <rPr>
        <b/>
        <sz val="12"/>
        <color rgb="FF0000FF"/>
        <rFont val="Calibri"/>
        <family val="2"/>
      </rPr>
      <t xml:space="preserve"> INPUT YOUR TRAINING INTENSITY (0 = minimum recommended distance, 100 = maximum recommended distance)</t>
    </r>
  </si>
  <si>
    <r>
      <rPr>
        <sz val="12"/>
        <rFont val="Noto Sans Symbols"/>
      </rPr>
      <t>Z</t>
    </r>
    <r>
      <rPr>
        <sz val="12"/>
        <rFont val="Calibri"/>
        <family val="2"/>
      </rPr>
      <t xml:space="preserve"> 2-4 days per week, 5-10 miles each</t>
    </r>
  </si>
  <si>
    <t>Long Repeats</t>
  </si>
  <si>
    <t xml:space="preserve">Long Run </t>
  </si>
  <si>
    <t>3 x 15 min @</t>
  </si>
  <si>
    <t>or Bronx 10 Mile</t>
  </si>
  <si>
    <t>Speed Intensity:</t>
  </si>
  <si>
    <t>(0-3 miles)</t>
  </si>
  <si>
    <t>Tempo Intensity:</t>
  </si>
  <si>
    <t>(3-10 miles)</t>
  </si>
  <si>
    <t>Canova Recovery:</t>
  </si>
  <si>
    <t>of MP</t>
  </si>
  <si>
    <t>LSD Intensity:</t>
  </si>
  <si>
    <t>(10+ miles)</t>
  </si>
  <si>
    <t>Distance 
(Name)</t>
  </si>
  <si>
    <t>Distance 
(Mile)</t>
  </si>
  <si>
    <t>Time 
(hh:mm:ss)</t>
  </si>
  <si>
    <t>Race Time 
(min)</t>
  </si>
  <si>
    <t>Race Pace (Code)</t>
  </si>
  <si>
    <t>Pace
(min/mile)</t>
  </si>
  <si>
    <t>200m Split
(mm:ss)</t>
  </si>
  <si>
    <t>400m Split
(mm:ss)</t>
  </si>
  <si>
    <t>800m Split
(mm:ss)</t>
  </si>
  <si>
    <t>1200m Split
(mm:ss)</t>
  </si>
  <si>
    <t>800m:</t>
  </si>
  <si>
    <t>R-800</t>
  </si>
  <si>
    <t>1 mile:</t>
  </si>
  <si>
    <t>R-1M</t>
  </si>
  <si>
    <t>5K:</t>
  </si>
  <si>
    <t>R-5K</t>
  </si>
  <si>
    <t>4 mile:</t>
  </si>
  <si>
    <t>R-4M</t>
  </si>
  <si>
    <t>5 mile:</t>
  </si>
  <si>
    <t>R-5M</t>
  </si>
  <si>
    <t>10K:</t>
  </si>
  <si>
    <t>R-10K</t>
  </si>
  <si>
    <t>Half Marathon:</t>
  </si>
  <si>
    <t>R-Half</t>
  </si>
  <si>
    <t>Marathon:</t>
  </si>
  <si>
    <t>R-Mar</t>
  </si>
  <si>
    <t>T-SF</t>
  </si>
  <si>
    <t>T-SS</t>
  </si>
  <si>
    <t>T-TF</t>
  </si>
  <si>
    <t>T-TS</t>
  </si>
  <si>
    <t>EZ Run:</t>
  </si>
  <si>
    <t>T-LFD</t>
  </si>
  <si>
    <t>T-CAN</t>
  </si>
  <si>
    <t>Long Run:</t>
  </si>
  <si>
    <t>T-LSD</t>
  </si>
  <si>
    <t>LOOKUP TABLE:</t>
  </si>
  <si>
    <t>T-LF</t>
  </si>
  <si>
    <t>T-LS</t>
  </si>
  <si>
    <t>Canova Interval Training</t>
  </si>
  <si>
    <t xml:space="preserve">The concept is to train both the top and bottom of your aerobic range.  There is NO slow jog rest, rather the "recovery" is just a little slower than your marathon pace.  This increases long distance running efficiency.
Each set consists of an Interval portion and a Recovery portion.  Intervals are done around 10K to Half Marathon race pace, Recovery is done just slower than Marathon Pace (MP).  These intervals, unlike some others, have a slower speed interval and a faster recovery.  
Upon completion of the Recovery, begin the next set with the faster Interval speed again.  </t>
  </si>
  <si>
    <t>Cross Training</t>
  </si>
  <si>
    <t xml:space="preserve">If you're incorporating cross training into your workouts, it's best to do that on lower intensity days (e.g. Monday, Tuesday, Saturday).  Cross training is great for runners because it strenthens and exercises areas that don't necessarily get attention when you're running, particularly core strength and plyometric exercises.  Biking, rollerblading, weight training, etc are all good add-ons.
Of course, don't go overboard with the other training if you expect to run a PR marathon.  You can't expect to win the World Powerlifting Championships and be in shape for a marathon PR at the same time.  </t>
  </si>
  <si>
    <t>Intensity/Effort Range</t>
  </si>
  <si>
    <t xml:space="preserve">Your range of effort compared to your VO2 Max (see below).  In the past, this was often tied together with your % of maximum heartrate.  Recent studies have shown that % to not be as accurate, especially for women.  In more nerdy terms, the intensity/effort % is closely tied to the concentration of lactate in your blood.  But % heartrate is a good approximation if you're using a heartrate monitor.  See link for more info.  </t>
  </si>
  <si>
    <t>Long Runs</t>
  </si>
  <si>
    <t>We show the long runs on Sundays, but you can do them when you want.  In general the weekend tends to work best simply because these runs take a long time.</t>
  </si>
  <si>
    <t>LSD Run</t>
  </si>
  <si>
    <t>No, this has nothing to do with Timothy Leary.  "Long Slow Distance".  It's running at less than 75% of maximum effort, conversational pace, benefit is from TIME running, not pace, so Go Slow!</t>
  </si>
  <si>
    <t>Other Runs</t>
  </si>
  <si>
    <t xml:space="preserve">The days for which a specific workout is not prescribed are open to you.  Take them slow, no faster than the pace shown on the top left of the workout sheet.  Feel free to run your LSD pace too.  In general these are runs of 5-10 miles.  The goal is to recover from previous workouts and keep some comfortable base miles.  </t>
  </si>
  <si>
    <t>Running Days per Week</t>
  </si>
  <si>
    <t>Competitive runners and those looking to PR should aim for 12-13 days of running in a two week period.  New people or those not looking to challenge their PR should do maybe 10-12 days of running in a two week period.  These are not hard and fast rules!!  There are people who run every day and don't PR, as there are people that run 4 days a week and do PR.  As with the weekly miles, you need to keep tabs on how you feel and use your judgment.  Don't just follow these numbers blindly as it may lead to injury</t>
  </si>
  <si>
    <t>Striders</t>
  </si>
  <si>
    <t>Short, fast running but only for 20 to 30 seconds; concentrate on perfect form and efficient movement; long and full recovery between each one (a few minutes of easy running).</t>
  </si>
  <si>
    <t>Taper</t>
  </si>
  <si>
    <t>Reducing duration and intensity of effort; in our case, gradually reducing miles and intervals to rest in the 2-4 weeks leading up to the marathon</t>
  </si>
  <si>
    <t>Taper Period</t>
  </si>
  <si>
    <t>A lot of people finish their last long run 2 weeks before the marathon, then assume "Taper" means be a lazy@ss for two weeks.  It's exactly what the word means, a gradual backing off of intensity and distance leading up to Marathon day.  
Alternately, there are some people that feel they haven't trained well enough for the marathon and try to "cram" during the last two weeks.  It doesn't work, don't even try.  It is, however, a really great way to get injured.
Two weeks out from a marathon, there's nothing you can do anymore to make yourself faster on race day.  All the gains of training have been established and solidified.  There are, however, plenty of stupid things you can still do to screw up your marathon.  So no couch-potatoing, no cramming, just a gradual decrease in mileage and intensity.  This is also a good time to maybe cut out some of the twinkies and bloomin' onions if you haven't already.</t>
  </si>
  <si>
    <t>TLT Long Runs</t>
  </si>
  <si>
    <t>Designed to challenge your body during a long run to several iterations near Marathon Pace.  During each fast repeat (e.g. 2 x 6 mins), rest for 2 mins at a slow jog pace.  Once you've done the cycles of speed and rest, go onto the next pace listed</t>
  </si>
  <si>
    <t>VO2 Max</t>
  </si>
  <si>
    <t xml:space="preserve">Basically it's the maximum rate at which your body can deliver O2 to the muscles.  In general, higher VO2 Max indicates a higher fitness level.  See link for more details. </t>
  </si>
  <si>
    <t>Weekly Miles</t>
  </si>
  <si>
    <t xml:space="preserve">The mileage listed is a fairly wide range.  If you're an experienced and/or competitive marathon runner, you probably want to be on the upper end of that range.  Newer marathoners should be in the middle to lower end.  That doesn't need to be a universal truth every week.  You may want to be on the upper end one week, lower end the next based on how you feel, other races, etc.  Those who've done several marathons will already have a feel for what weekly mileage works for them.  </t>
  </si>
  <si>
    <t>Set 1</t>
  </si>
  <si>
    <t>Set</t>
  </si>
  <si>
    <t>26.2 Time</t>
  </si>
  <si>
    <t>A</t>
  </si>
  <si>
    <t>B</t>
  </si>
  <si>
    <t>RACE TIME = A * (DIST^B)</t>
  </si>
  <si>
    <t>A = [3.12E-2 * (MARATHON TIME)] - 3.17E-2</t>
  </si>
  <si>
    <t>B = [-1.75E-5 * (MARATHON TIME)] + 1.07</t>
  </si>
  <si>
    <t>Set 2</t>
  </si>
  <si>
    <t>Set 3</t>
  </si>
  <si>
    <t>Set 4</t>
  </si>
  <si>
    <t>Set 5</t>
  </si>
  <si>
    <t>Team Champs</t>
  </si>
  <si>
    <t>Intervals:6</t>
  </si>
  <si>
    <t>2 Min recovery @</t>
  </si>
  <si>
    <t>7M @</t>
  </si>
  <si>
    <t>20M @</t>
  </si>
  <si>
    <t>9M @</t>
  </si>
  <si>
    <t>25 min @</t>
  </si>
  <si>
    <t>25 mins @</t>
  </si>
  <si>
    <t>Intervals: 8</t>
  </si>
  <si>
    <t>Long Run + Intervals*</t>
  </si>
  <si>
    <r>
      <t>or 'Fifth Ave Mile</t>
    </r>
    <r>
      <rPr>
        <b/>
        <sz val="11"/>
        <rFont val="Calibri"/>
        <family val="2"/>
      </rPr>
      <t>**</t>
    </r>
  </si>
  <si>
    <t>** If you're running the 5th Ave Mile, you can do this long run earlier in the week if you'd like</t>
  </si>
  <si>
    <t>*If you're running the Bronx 10M, you can swap this workout with the one on 9/7*</t>
  </si>
  <si>
    <t>20 min + 10 min @</t>
  </si>
  <si>
    <t>5 min recovery @</t>
  </si>
  <si>
    <t>Coaches' Choice partner workout</t>
  </si>
  <si>
    <t>~ 3-4M uptempo</t>
  </si>
  <si>
    <t>Intervals: 12-14</t>
  </si>
  <si>
    <t>3 x 10 min @</t>
  </si>
  <si>
    <t>60-90 sec recovery @</t>
  </si>
  <si>
    <t>Rest or Optional Run w/ MP</t>
  </si>
  <si>
    <t>* If you're runing the Harlem 5K, swap this long run with the long run on 8/27</t>
  </si>
  <si>
    <t>4 x 8 min @</t>
  </si>
  <si>
    <t>Intervals: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</si>
</sst>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quot; miles&quot;"/>
    <numFmt numFmtId="165" formatCode="mm:ss&quot; pace max&quot;"/>
    <numFmt numFmtId="166" formatCode="m/d"/>
    <numFmt numFmtId="167" formatCode="mm:ss&quot; pace&quot;"/>
    <numFmt numFmtId="168" formatCode="0&quot; miles @&quot;"/>
    <numFmt numFmtId="169" formatCode="0&quot;m Interval&quot;"/>
    <numFmt numFmtId="170" formatCode="mmm\ d"/>
    <numFmt numFmtId="171" formatCode="mm:ss&quot; split&quot;"/>
    <numFmt numFmtId="172" formatCode="0.0&quot; miles&quot;"/>
    <numFmt numFmtId="173" formatCode="0.0"/>
  </numFmts>
  <fonts count="36">
    <font>
      <sz val="11"/>
      <color rgb="FF000000"/>
      <name val="Calibri"/>
      <scheme val="minor"/>
    </font>
    <font>
      <sz val="11"/>
      <color rgb="FF000000"/>
      <name val="Calibri"/>
      <family val="2"/>
    </font>
    <font>
      <b/>
      <sz val="11"/>
      <color rgb="FF000000"/>
      <name val="Calibri"/>
      <family val="2"/>
    </font>
    <font>
      <sz val="12"/>
      <color rgb="FF000000"/>
      <name val="Calibri"/>
      <family val="2"/>
    </font>
    <font>
      <b/>
      <sz val="12"/>
      <color rgb="FF000000"/>
      <name val="Calibri"/>
      <family val="2"/>
    </font>
    <font>
      <b/>
      <sz val="12"/>
      <color rgb="FF0000FF"/>
      <name val="Noto Sans Symbols"/>
    </font>
    <font>
      <b/>
      <sz val="10"/>
      <name val="Arial"/>
      <family val="2"/>
    </font>
    <font>
      <sz val="11"/>
      <name val="Calibri"/>
      <family val="2"/>
    </font>
    <font>
      <sz val="12"/>
      <name val="Noto Sans Symbols"/>
    </font>
    <font>
      <b/>
      <sz val="11"/>
      <color rgb="FFFFFFFF"/>
      <name val="Calibri"/>
      <family val="2"/>
    </font>
    <font>
      <sz val="11"/>
      <name val="Calibri"/>
      <family val="2"/>
    </font>
    <font>
      <sz val="11"/>
      <name val="Calibri"/>
      <family val="2"/>
    </font>
    <font>
      <b/>
      <sz val="14"/>
      <name val="Calibri"/>
      <family val="2"/>
    </font>
    <font>
      <b/>
      <u/>
      <sz val="11"/>
      <name val="Calibri"/>
      <family val="2"/>
    </font>
    <font>
      <b/>
      <u/>
      <sz val="11"/>
      <name val="Calibri"/>
      <family val="2"/>
    </font>
    <font>
      <b/>
      <u/>
      <sz val="11"/>
      <name val="Calibri"/>
      <family val="2"/>
    </font>
    <font>
      <u/>
      <sz val="11"/>
      <color rgb="FF000000"/>
      <name val="Calibri"/>
      <family val="2"/>
    </font>
    <font>
      <b/>
      <sz val="11"/>
      <name val="Calibri"/>
      <family val="2"/>
    </font>
    <font>
      <sz val="11"/>
      <color rgb="FF0000FF"/>
      <name val="Calibri"/>
      <family val="2"/>
    </font>
    <font>
      <sz val="12"/>
      <name val="Calibri"/>
      <family val="2"/>
    </font>
    <font>
      <b/>
      <u/>
      <sz val="11"/>
      <name val="Calibri"/>
      <family val="2"/>
    </font>
    <font>
      <b/>
      <u/>
      <sz val="11"/>
      <name val="Calibri"/>
      <family val="2"/>
    </font>
    <font>
      <b/>
      <u/>
      <sz val="11"/>
      <name val="Calibri"/>
      <family val="2"/>
    </font>
    <font>
      <b/>
      <sz val="11"/>
      <color rgb="FFFF0000"/>
      <name val="Calibri"/>
      <family val="2"/>
    </font>
    <font>
      <b/>
      <u/>
      <sz val="11"/>
      <name val="Calibri"/>
      <family val="2"/>
    </font>
    <font>
      <b/>
      <u/>
      <sz val="11"/>
      <name val="Calibri"/>
      <family val="2"/>
    </font>
    <font>
      <b/>
      <sz val="11"/>
      <color rgb="FF0000FF"/>
      <name val="Calibri"/>
      <family val="2"/>
    </font>
    <font>
      <b/>
      <u/>
      <sz val="11"/>
      <name val="Calibri"/>
      <family val="2"/>
    </font>
    <font>
      <u/>
      <sz val="11"/>
      <color rgb="FF000000"/>
      <name val="Calibri"/>
      <family val="2"/>
    </font>
    <font>
      <sz val="8"/>
      <name val="Arial"/>
      <family val="2"/>
    </font>
    <font>
      <b/>
      <u/>
      <sz val="11"/>
      <color rgb="FF000000"/>
      <name val="Calibri"/>
      <family val="2"/>
    </font>
    <font>
      <u/>
      <sz val="11"/>
      <color rgb="FF0000FF"/>
      <name val="Calibri"/>
      <family val="2"/>
    </font>
    <font>
      <b/>
      <sz val="12"/>
      <color rgb="FF0000FF"/>
      <name val="Calibri"/>
      <family val="2"/>
    </font>
    <font>
      <b/>
      <sz val="11"/>
      <color rgb="FFFF0000"/>
      <name val="Calibri"/>
      <family val="2"/>
    </font>
    <font>
      <sz val="11"/>
      <color rgb="FF000000"/>
      <name val="Calibri"/>
      <family val="2"/>
    </font>
    <font>
      <sz val="11"/>
      <name val="Calibri"/>
      <family val="2"/>
    </font>
  </fonts>
  <fills count="11">
    <fill>
      <patternFill patternType="none"/>
    </fill>
    <fill>
      <patternFill patternType="gray125"/>
    </fill>
    <fill>
      <patternFill patternType="solid">
        <fgColor rgb="FFCCFFFF"/>
        <bgColor rgb="FFCCFFFF"/>
      </patternFill>
    </fill>
    <fill>
      <patternFill patternType="solid">
        <fgColor rgb="FF800080"/>
        <bgColor rgb="FF800080"/>
      </patternFill>
    </fill>
    <fill>
      <patternFill patternType="solid">
        <fgColor rgb="FF000000"/>
        <bgColor rgb="FF000000"/>
      </patternFill>
    </fill>
    <fill>
      <patternFill patternType="solid">
        <fgColor rgb="FFCCC0D9"/>
        <bgColor rgb="FFCCC0D9"/>
      </patternFill>
    </fill>
    <fill>
      <patternFill patternType="solid">
        <fgColor rgb="FFFFFF99"/>
        <bgColor rgb="FFFFFF99"/>
      </patternFill>
    </fill>
    <fill>
      <patternFill patternType="solid">
        <fgColor rgb="FFFFFFFF"/>
        <bgColor rgb="FFFFFFFF"/>
      </patternFill>
    </fill>
    <fill>
      <patternFill patternType="solid">
        <fgColor rgb="FFC0C0C0"/>
        <bgColor rgb="FFC0C0C0"/>
      </patternFill>
    </fill>
    <fill>
      <patternFill patternType="solid">
        <fgColor theme="0"/>
        <bgColor rgb="FFFFFF99"/>
      </patternFill>
    </fill>
    <fill>
      <patternFill patternType="solid">
        <fgColor theme="0"/>
        <bgColor indexed="64"/>
      </patternFill>
    </fill>
  </fills>
  <borders count="79">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FFFFFF"/>
      </right>
      <top style="thin">
        <color rgb="FF000000"/>
      </top>
      <bottom/>
      <diagonal/>
    </border>
    <border>
      <left style="thin">
        <color rgb="FFFFFFFF"/>
      </left>
      <right style="thin">
        <color rgb="FFFFFFFF"/>
      </right>
      <top style="thin">
        <color rgb="FF000000"/>
      </top>
      <bottom/>
      <diagonal/>
    </border>
    <border>
      <left style="thin">
        <color rgb="FFFFFFFF"/>
      </left>
      <right/>
      <top style="thin">
        <color rgb="FF000000"/>
      </top>
      <bottom/>
      <diagonal/>
    </border>
    <border>
      <left/>
      <right style="thin">
        <color rgb="FFFFFFFF"/>
      </right>
      <top style="thin">
        <color rgb="FF000000"/>
      </top>
      <bottom/>
      <diagonal/>
    </border>
    <border>
      <left style="thin">
        <color rgb="FFFFFFFF"/>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style="thin">
        <color rgb="FF000000"/>
      </right>
      <top/>
      <bottom/>
      <diagonal/>
    </border>
    <border>
      <left/>
      <right style="hair">
        <color rgb="FF000000"/>
      </right>
      <top/>
      <bottom/>
      <diagonal/>
    </border>
    <border>
      <left style="hair">
        <color rgb="FF000000"/>
      </left>
      <right/>
      <top/>
      <bottom/>
      <diagonal/>
    </border>
    <border>
      <left style="hair">
        <color rgb="FF000000"/>
      </left>
      <right style="hair">
        <color rgb="FF000000"/>
      </right>
      <top/>
      <bottom/>
      <diagonal/>
    </border>
    <border>
      <left/>
      <right style="thin">
        <color rgb="FF000000"/>
      </right>
      <top/>
      <bottom/>
      <diagonal/>
    </border>
    <border>
      <left style="thin">
        <color rgb="FF000000"/>
      </left>
      <right style="hair">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top/>
      <bottom style="thin">
        <color rgb="FF000000"/>
      </bottom>
      <diagonal/>
    </border>
    <border>
      <left/>
      <right style="hair">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top/>
      <bottom/>
      <diagonal/>
    </border>
    <border>
      <left/>
      <right style="hair">
        <color rgb="FF000000"/>
      </right>
      <top/>
      <bottom/>
      <diagonal/>
    </border>
    <border>
      <left/>
      <right/>
      <top/>
      <bottom/>
      <diagonal/>
    </border>
    <border>
      <left/>
      <right style="thin">
        <color rgb="FF000000"/>
      </right>
      <top/>
      <bottom/>
      <diagonal/>
    </border>
    <border>
      <left style="thin">
        <color rgb="FF000000"/>
      </left>
      <right style="hair">
        <color rgb="FF000000"/>
      </right>
      <top style="hair">
        <color rgb="FF000000"/>
      </top>
      <bottom/>
      <diagonal/>
    </border>
    <border>
      <left style="hair">
        <color rgb="FF000000"/>
      </left>
      <right/>
      <top style="hair">
        <color rgb="FF000000"/>
      </top>
      <bottom/>
      <diagonal/>
    </border>
    <border>
      <left/>
      <right style="thin">
        <color rgb="FF000000"/>
      </right>
      <top/>
      <bottom/>
      <diagonal/>
    </border>
    <border>
      <left/>
      <right/>
      <top style="hair">
        <color rgb="FF000000"/>
      </top>
      <bottom/>
      <diagonal/>
    </border>
    <border>
      <left/>
      <right style="thin">
        <color rgb="FF000000"/>
      </right>
      <top style="hair">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hair">
        <color rgb="FF000000"/>
      </left>
      <right/>
      <top/>
      <bottom style="thin">
        <color indexed="64"/>
      </bottom>
      <diagonal/>
    </border>
    <border>
      <left/>
      <right style="hair">
        <color rgb="FF000000"/>
      </right>
      <top/>
      <bottom style="thin">
        <color indexed="64"/>
      </bottom>
      <diagonal/>
    </border>
    <border>
      <left/>
      <right style="dotted">
        <color indexed="64"/>
      </right>
      <top/>
      <bottom/>
      <diagonal/>
    </border>
    <border>
      <left style="hair">
        <color rgb="FF000000"/>
      </left>
      <right style="dotted">
        <color indexed="64"/>
      </right>
      <top/>
      <bottom/>
      <diagonal/>
    </border>
    <border>
      <left/>
      <right style="dotted">
        <color indexed="64"/>
      </right>
      <top style="hair">
        <color rgb="FF000000"/>
      </top>
      <bottom/>
      <diagonal/>
    </border>
    <border>
      <left style="hair">
        <color rgb="FF000000"/>
      </left>
      <right style="hair">
        <color rgb="FF000000"/>
      </right>
      <top style="thin">
        <color rgb="FF000000"/>
      </top>
      <bottom style="dotted">
        <color indexed="64"/>
      </bottom>
      <diagonal/>
    </border>
  </borders>
  <cellStyleXfs count="1">
    <xf numFmtId="0" fontId="0" fillId="0" borderId="0"/>
  </cellStyleXfs>
  <cellXfs count="305">
    <xf numFmtId="0" fontId="0" fillId="0" borderId="0" xfId="0"/>
    <xf numFmtId="0" fontId="1" fillId="0" borderId="1" xfId="0" applyFont="1" applyBorder="1" applyAlignment="1">
      <alignment vertical="top"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vertical="top" wrapText="1"/>
    </xf>
    <xf numFmtId="21" fontId="4" fillId="2" borderId="2" xfId="0" applyNumberFormat="1" applyFont="1" applyFill="1" applyBorder="1" applyAlignment="1">
      <alignment horizontal="center" vertical="center" wrapText="1"/>
    </xf>
    <xf numFmtId="0" fontId="5"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left" vertical="center" wrapText="1"/>
    </xf>
    <xf numFmtId="21" fontId="4" fillId="0" borderId="0" xfId="0" applyNumberFormat="1" applyFont="1" applyAlignment="1">
      <alignment vertical="center" wrapText="1"/>
    </xf>
    <xf numFmtId="0" fontId="3" fillId="0" borderId="0" xfId="0" applyFont="1"/>
    <xf numFmtId="0" fontId="3" fillId="0" borderId="0" xfId="0" applyFont="1" applyAlignment="1">
      <alignment vertical="center" wrapText="1"/>
    </xf>
    <xf numFmtId="9" fontId="6"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65" fontId="7" fillId="0" borderId="0" xfId="0" applyNumberFormat="1" applyFont="1" applyAlignment="1">
      <alignment horizontal="center" vertical="center" wrapText="1"/>
    </xf>
    <xf numFmtId="0" fontId="8" fillId="0" borderId="0" xfId="0" applyFont="1" applyAlignment="1">
      <alignment horizontal="left" vertical="center"/>
    </xf>
    <xf numFmtId="14" fontId="4" fillId="0" borderId="0" xfId="0" applyNumberFormat="1" applyFont="1" applyAlignment="1">
      <alignment vertical="center" wrapText="1"/>
    </xf>
    <xf numFmtId="0" fontId="1" fillId="0" borderId="0" xfId="0" applyFont="1" applyAlignment="1">
      <alignment vertical="top"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21" fontId="2" fillId="0" borderId="0" xfId="0" applyNumberFormat="1" applyFont="1" applyAlignment="1">
      <alignment vertical="center" wrapText="1"/>
    </xf>
    <xf numFmtId="0" fontId="2" fillId="0" borderId="0" xfId="0" applyFont="1" applyAlignment="1">
      <alignment vertical="top"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164" fontId="11" fillId="3" borderId="7"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166" fontId="13" fillId="6" borderId="12" xfId="0" applyNumberFormat="1" applyFont="1" applyFill="1" applyBorder="1" applyAlignment="1">
      <alignment horizontal="center" vertical="center" wrapText="1"/>
    </xf>
    <xf numFmtId="166" fontId="14" fillId="6" borderId="13" xfId="0" applyNumberFormat="1" applyFont="1" applyFill="1" applyBorder="1" applyAlignment="1">
      <alignment horizontal="center" vertical="center" wrapText="1"/>
    </xf>
    <xf numFmtId="164" fontId="16" fillId="6" borderId="16" xfId="0" applyNumberFormat="1" applyFont="1" applyFill="1" applyBorder="1" applyAlignment="1">
      <alignment horizontal="center" vertical="center" wrapText="1"/>
    </xf>
    <xf numFmtId="1" fontId="17" fillId="6" borderId="19" xfId="0" applyNumberFormat="1" applyFont="1" applyFill="1" applyBorder="1" applyAlignment="1">
      <alignment horizontal="center" vertical="center" wrapText="1"/>
    </xf>
    <xf numFmtId="164" fontId="7" fillId="6" borderId="21" xfId="0" applyNumberFormat="1" applyFont="1" applyFill="1" applyBorder="1" applyAlignment="1">
      <alignment horizontal="center" vertical="center" wrapText="1"/>
    </xf>
    <xf numFmtId="164" fontId="18" fillId="6" borderId="21" xfId="0" applyNumberFormat="1" applyFont="1" applyFill="1" applyBorder="1" applyAlignment="1">
      <alignment horizontal="center" vertical="center" wrapText="1"/>
    </xf>
    <xf numFmtId="164" fontId="18" fillId="6" borderId="1" xfId="0" applyNumberFormat="1" applyFont="1" applyFill="1" applyBorder="1" applyAlignment="1">
      <alignment horizontal="center" vertical="center" wrapText="1"/>
    </xf>
    <xf numFmtId="1" fontId="17" fillId="6" borderId="26" xfId="0" applyNumberFormat="1" applyFont="1" applyFill="1" applyBorder="1" applyAlignment="1">
      <alignment horizontal="center" vertical="center" wrapText="1"/>
    </xf>
    <xf numFmtId="167" fontId="7" fillId="6" borderId="27" xfId="0" applyNumberFormat="1" applyFont="1" applyFill="1" applyBorder="1" applyAlignment="1">
      <alignment horizontal="center" vertical="center" wrapText="1"/>
    </xf>
    <xf numFmtId="49" fontId="7" fillId="6" borderId="28" xfId="0" applyNumberFormat="1" applyFont="1" applyFill="1" applyBorder="1" applyAlignment="1">
      <alignment horizontal="right" vertical="center" wrapText="1"/>
    </xf>
    <xf numFmtId="167" fontId="7" fillId="6" borderId="27" xfId="0" applyNumberFormat="1" applyFont="1" applyFill="1" applyBorder="1" applyAlignment="1">
      <alignment horizontal="left" vertical="center" wrapText="1"/>
    </xf>
    <xf numFmtId="0" fontId="1" fillId="6" borderId="29" xfId="0" applyFont="1" applyFill="1" applyBorder="1" applyAlignment="1">
      <alignment vertical="center" wrapText="1"/>
    </xf>
    <xf numFmtId="0" fontId="1" fillId="6" borderId="1" xfId="0" applyFont="1" applyFill="1" applyBorder="1" applyAlignment="1">
      <alignment vertical="center" wrapText="1"/>
    </xf>
    <xf numFmtId="168" fontId="7" fillId="6" borderId="28" xfId="0" applyNumberFormat="1" applyFont="1" applyFill="1" applyBorder="1" applyAlignment="1">
      <alignment horizontal="right" vertical="center" wrapText="1"/>
    </xf>
    <xf numFmtId="164" fontId="7" fillId="6" borderId="1" xfId="0" applyNumberFormat="1" applyFont="1" applyFill="1" applyBorder="1" applyAlignment="1">
      <alignment horizontal="center" vertical="center" wrapText="1"/>
    </xf>
    <xf numFmtId="167" fontId="7" fillId="6" borderId="30" xfId="0" applyNumberFormat="1" applyFont="1" applyFill="1" applyBorder="1" applyAlignment="1">
      <alignment horizontal="left" vertical="center" wrapText="1"/>
    </xf>
    <xf numFmtId="164" fontId="7" fillId="6" borderId="29" xfId="0" applyNumberFormat="1" applyFont="1" applyFill="1" applyBorder="1" applyAlignment="1">
      <alignment horizontal="center" vertical="center" wrapText="1"/>
    </xf>
    <xf numFmtId="164" fontId="1" fillId="6" borderId="29"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64" fontId="7" fillId="6" borderId="28" xfId="0" applyNumberFormat="1" applyFont="1" applyFill="1" applyBorder="1" applyAlignment="1">
      <alignment horizontal="right" vertical="center" wrapText="1"/>
    </xf>
    <xf numFmtId="164" fontId="7" fillId="6" borderId="31" xfId="0" applyNumberFormat="1" applyFont="1" applyFill="1" applyBorder="1" applyAlignment="1">
      <alignment horizontal="center" vertical="center" wrapText="1"/>
    </xf>
    <xf numFmtId="167" fontId="7" fillId="6" borderId="33" xfId="0" applyNumberFormat="1" applyFont="1" applyFill="1" applyBorder="1" applyAlignment="1">
      <alignment horizontal="center" vertical="center" wrapText="1"/>
    </xf>
    <xf numFmtId="167" fontId="7" fillId="6" borderId="34" xfId="0" applyNumberFormat="1" applyFont="1" applyFill="1" applyBorder="1" applyAlignment="1">
      <alignment horizontal="center" vertical="center" wrapText="1"/>
    </xf>
    <xf numFmtId="49" fontId="7" fillId="6" borderId="35" xfId="0" applyNumberFormat="1" applyFont="1" applyFill="1" applyBorder="1" applyAlignment="1">
      <alignment horizontal="right" vertical="center" wrapText="1"/>
    </xf>
    <xf numFmtId="169" fontId="7" fillId="6" borderId="36" xfId="0" applyNumberFormat="1" applyFont="1" applyFill="1" applyBorder="1" applyAlignment="1">
      <alignment horizontal="left" vertical="center" wrapText="1"/>
    </xf>
    <xf numFmtId="167" fontId="7" fillId="6" borderId="36" xfId="0" applyNumberFormat="1" applyFont="1" applyFill="1" applyBorder="1" applyAlignment="1">
      <alignment horizontal="left" vertical="center" wrapText="1"/>
    </xf>
    <xf numFmtId="164" fontId="1" fillId="6" borderId="34" xfId="0" applyNumberFormat="1" applyFont="1" applyFill="1" applyBorder="1" applyAlignment="1">
      <alignment horizontal="center" vertical="center" wrapText="1"/>
    </xf>
    <xf numFmtId="164" fontId="1" fillId="6" borderId="37" xfId="0" applyNumberFormat="1" applyFont="1" applyFill="1" applyBorder="1" applyAlignment="1">
      <alignment horizontal="center" vertical="center" wrapText="1"/>
    </xf>
    <xf numFmtId="167" fontId="7" fillId="6" borderId="35" xfId="0" applyNumberFormat="1" applyFont="1" applyFill="1" applyBorder="1" applyAlignment="1">
      <alignment horizontal="right" vertical="center" wrapText="1"/>
    </xf>
    <xf numFmtId="170" fontId="19" fillId="6" borderId="37" xfId="0" applyNumberFormat="1" applyFont="1" applyFill="1" applyBorder="1" applyAlignment="1">
      <alignment horizontal="left" vertical="center" wrapText="1"/>
    </xf>
    <xf numFmtId="170" fontId="19" fillId="6" borderId="38" xfId="0" applyNumberFormat="1" applyFont="1" applyFill="1" applyBorder="1" applyAlignment="1">
      <alignment horizontal="left" vertical="center" wrapText="1"/>
    </xf>
    <xf numFmtId="1" fontId="17" fillId="6" borderId="39" xfId="0" applyNumberFormat="1" applyFont="1" applyFill="1" applyBorder="1" applyAlignment="1">
      <alignment horizontal="center" vertical="center" wrapText="1"/>
    </xf>
    <xf numFmtId="166" fontId="20" fillId="7" borderId="31" xfId="0" applyNumberFormat="1" applyFont="1" applyFill="1" applyBorder="1" applyAlignment="1">
      <alignment horizontal="center" vertical="center" wrapText="1"/>
    </xf>
    <xf numFmtId="166" fontId="21" fillId="7" borderId="29" xfId="0" applyNumberFormat="1" applyFont="1" applyFill="1" applyBorder="1" applyAlignment="1">
      <alignment horizontal="center" vertical="center" wrapText="1"/>
    </xf>
    <xf numFmtId="164" fontId="1" fillId="7" borderId="16" xfId="0" applyNumberFormat="1" applyFont="1" applyFill="1" applyBorder="1" applyAlignment="1">
      <alignment horizontal="center" vertical="center" wrapText="1"/>
    </xf>
    <xf numFmtId="164" fontId="1" fillId="7" borderId="13" xfId="0" applyNumberFormat="1" applyFont="1" applyFill="1" applyBorder="1" applyAlignment="1">
      <alignment horizontal="center" vertical="center" wrapText="1"/>
    </xf>
    <xf numFmtId="1" fontId="17" fillId="7" borderId="19" xfId="0" applyNumberFormat="1" applyFont="1" applyFill="1" applyBorder="1" applyAlignment="1">
      <alignment horizontal="center" vertical="center" wrapText="1"/>
    </xf>
    <xf numFmtId="164" fontId="7" fillId="0" borderId="21" xfId="0" applyNumberFormat="1" applyFont="1" applyBorder="1" applyAlignment="1">
      <alignment horizontal="center" vertical="center" wrapText="1"/>
    </xf>
    <xf numFmtId="164" fontId="7" fillId="7" borderId="21" xfId="0" applyNumberFormat="1" applyFont="1" applyFill="1" applyBorder="1" applyAlignment="1">
      <alignment horizontal="center" vertical="center" wrapText="1"/>
    </xf>
    <xf numFmtId="164" fontId="1" fillId="7" borderId="21" xfId="0" applyNumberFormat="1" applyFont="1" applyFill="1" applyBorder="1" applyAlignment="1">
      <alignment horizontal="center" vertical="center" wrapText="1"/>
    </xf>
    <xf numFmtId="1" fontId="17" fillId="7" borderId="26" xfId="0" applyNumberFormat="1" applyFont="1" applyFill="1" applyBorder="1" applyAlignment="1">
      <alignment horizontal="center" vertical="center" wrapText="1"/>
    </xf>
    <xf numFmtId="167" fontId="7" fillId="0" borderId="27" xfId="0" applyNumberFormat="1" applyFont="1" applyBorder="1" applyAlignment="1">
      <alignment horizontal="center" vertical="center" wrapText="1"/>
    </xf>
    <xf numFmtId="49" fontId="7" fillId="0" borderId="46" xfId="0" applyNumberFormat="1" applyFont="1" applyBorder="1" applyAlignment="1">
      <alignment horizontal="right" vertical="center" wrapText="1"/>
    </xf>
    <xf numFmtId="167" fontId="7" fillId="0" borderId="47" xfId="0" applyNumberFormat="1" applyFont="1" applyBorder="1" applyAlignment="1">
      <alignment horizontal="left" vertical="center" wrapText="1"/>
    </xf>
    <xf numFmtId="49" fontId="7" fillId="7" borderId="28" xfId="0" applyNumberFormat="1" applyFont="1" applyFill="1" applyBorder="1" applyAlignment="1">
      <alignment horizontal="right" vertical="center" wrapText="1"/>
    </xf>
    <xf numFmtId="167" fontId="7" fillId="7" borderId="27" xfId="0" applyNumberFormat="1" applyFont="1" applyFill="1" applyBorder="1" applyAlignment="1">
      <alignment horizontal="left" vertical="center" wrapText="1"/>
    </xf>
    <xf numFmtId="164" fontId="1" fillId="0" borderId="48" xfId="0" applyNumberFormat="1" applyFont="1" applyBorder="1" applyAlignment="1">
      <alignment horizontal="center" vertical="center" wrapText="1"/>
    </xf>
    <xf numFmtId="168" fontId="7" fillId="7" borderId="28" xfId="0" applyNumberFormat="1" applyFont="1" applyFill="1" applyBorder="1" applyAlignment="1">
      <alignment horizontal="right" vertical="center" wrapText="1"/>
    </xf>
    <xf numFmtId="164" fontId="7" fillId="7" borderId="1" xfId="0" applyNumberFormat="1" applyFont="1" applyFill="1" applyBorder="1" applyAlignment="1">
      <alignment horizontal="center" vertical="center" wrapText="1"/>
    </xf>
    <xf numFmtId="167" fontId="7" fillId="7" borderId="30" xfId="0" applyNumberFormat="1" applyFont="1" applyFill="1" applyBorder="1" applyAlignment="1">
      <alignment horizontal="left" vertical="center" wrapText="1"/>
    </xf>
    <xf numFmtId="164" fontId="7" fillId="0" borderId="29" xfId="0" applyNumberFormat="1" applyFont="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1" fillId="7" borderId="29"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164" fontId="7" fillId="7" borderId="28" xfId="0" applyNumberFormat="1" applyFont="1" applyFill="1" applyBorder="1" applyAlignment="1">
      <alignment horizontal="right" vertical="center" wrapText="1"/>
    </xf>
    <xf numFmtId="164" fontId="7" fillId="0" borderId="31" xfId="0" applyNumberFormat="1" applyFont="1" applyBorder="1" applyAlignment="1">
      <alignment horizontal="center" vertical="center" wrapText="1"/>
    </xf>
    <xf numFmtId="164" fontId="7" fillId="7" borderId="31" xfId="0" applyNumberFormat="1" applyFont="1" applyFill="1" applyBorder="1" applyAlignment="1">
      <alignment horizontal="center" vertical="center" wrapText="1"/>
    </xf>
    <xf numFmtId="167" fontId="7" fillId="7" borderId="33" xfId="0" applyNumberFormat="1" applyFont="1" applyFill="1" applyBorder="1" applyAlignment="1">
      <alignment horizontal="center" vertical="center" wrapText="1"/>
    </xf>
    <xf numFmtId="167" fontId="7" fillId="7" borderId="34" xfId="0" applyNumberFormat="1" applyFont="1" applyFill="1" applyBorder="1" applyAlignment="1">
      <alignment horizontal="center" vertical="center" wrapText="1"/>
    </xf>
    <xf numFmtId="49" fontId="7" fillId="7" borderId="35" xfId="0" applyNumberFormat="1" applyFont="1" applyFill="1" applyBorder="1" applyAlignment="1">
      <alignment horizontal="right" vertical="center" wrapText="1"/>
    </xf>
    <xf numFmtId="171" fontId="7" fillId="7" borderId="36" xfId="0" applyNumberFormat="1" applyFont="1" applyFill="1" applyBorder="1" applyAlignment="1">
      <alignment horizontal="left" vertical="center" wrapText="1"/>
    </xf>
    <xf numFmtId="164" fontId="7" fillId="7" borderId="34" xfId="0" applyNumberFormat="1" applyFont="1" applyFill="1" applyBorder="1" applyAlignment="1">
      <alignment horizontal="center" vertical="center" wrapText="1"/>
    </xf>
    <xf numFmtId="164" fontId="1" fillId="7" borderId="34" xfId="0" applyNumberFormat="1" applyFont="1" applyFill="1" applyBorder="1" applyAlignment="1">
      <alignment horizontal="center" vertical="center" wrapText="1"/>
    </xf>
    <xf numFmtId="164" fontId="1" fillId="7" borderId="37" xfId="0" applyNumberFormat="1" applyFont="1" applyFill="1" applyBorder="1" applyAlignment="1">
      <alignment horizontal="center" vertical="center" wrapText="1"/>
    </xf>
    <xf numFmtId="167" fontId="7" fillId="7" borderId="35" xfId="0" applyNumberFormat="1" applyFont="1" applyFill="1" applyBorder="1" applyAlignment="1">
      <alignment horizontal="right" vertical="center" wrapText="1"/>
    </xf>
    <xf numFmtId="170" fontId="19" fillId="7" borderId="37" xfId="0" applyNumberFormat="1" applyFont="1" applyFill="1" applyBorder="1" applyAlignment="1">
      <alignment horizontal="left" vertical="center" wrapText="1"/>
    </xf>
    <xf numFmtId="170" fontId="19" fillId="7" borderId="38" xfId="0" applyNumberFormat="1" applyFont="1" applyFill="1" applyBorder="1" applyAlignment="1">
      <alignment horizontal="left" vertical="center" wrapText="1"/>
    </xf>
    <xf numFmtId="1" fontId="17" fillId="7" borderId="39" xfId="0" applyNumberFormat="1" applyFont="1" applyFill="1" applyBorder="1" applyAlignment="1">
      <alignment horizontal="center" vertical="center" wrapText="1"/>
    </xf>
    <xf numFmtId="164" fontId="1" fillId="6" borderId="16" xfId="0" applyNumberFormat="1" applyFont="1" applyFill="1" applyBorder="1" applyAlignment="1">
      <alignment horizontal="center" vertical="center" wrapText="1"/>
    </xf>
    <xf numFmtId="164" fontId="1" fillId="6" borderId="13" xfId="0" applyNumberFormat="1" applyFont="1" applyFill="1" applyBorder="1" applyAlignment="1">
      <alignment horizontal="center" vertical="center" wrapText="1"/>
    </xf>
    <xf numFmtId="167" fontId="11" fillId="6" borderId="27" xfId="0" applyNumberFormat="1" applyFont="1" applyFill="1" applyBorder="1" applyAlignment="1">
      <alignment horizontal="left" vertical="center" wrapText="1"/>
    </xf>
    <xf numFmtId="167" fontId="7" fillId="6" borderId="1" xfId="0" applyNumberFormat="1" applyFont="1" applyFill="1" applyBorder="1" applyAlignment="1">
      <alignment horizontal="left" vertical="center" wrapText="1"/>
    </xf>
    <xf numFmtId="49" fontId="7" fillId="0" borderId="28" xfId="0" applyNumberFormat="1" applyFont="1" applyBorder="1" applyAlignment="1">
      <alignment horizontal="right" vertical="center" wrapText="1"/>
    </xf>
    <xf numFmtId="167" fontId="7" fillId="0" borderId="27" xfId="0" applyNumberFormat="1" applyFont="1" applyBorder="1" applyAlignment="1">
      <alignment horizontal="left" vertical="center" wrapText="1"/>
    </xf>
    <xf numFmtId="49" fontId="7" fillId="0" borderId="27" xfId="0" applyNumberFormat="1" applyFont="1" applyBorder="1" applyAlignment="1">
      <alignment vertical="center" wrapText="1"/>
    </xf>
    <xf numFmtId="167" fontId="7" fillId="0" borderId="1" xfId="0" applyNumberFormat="1" applyFont="1" applyBorder="1" applyAlignment="1">
      <alignment horizontal="left" vertical="center" wrapText="1"/>
    </xf>
    <xf numFmtId="167" fontId="7" fillId="7" borderId="36" xfId="0" applyNumberFormat="1" applyFont="1" applyFill="1" applyBorder="1" applyAlignment="1">
      <alignment horizontal="left" vertical="center" wrapText="1"/>
    </xf>
    <xf numFmtId="166" fontId="24" fillId="6" borderId="29" xfId="0" applyNumberFormat="1" applyFont="1" applyFill="1" applyBorder="1" applyAlignment="1">
      <alignment horizontal="center" vertical="center" wrapText="1"/>
    </xf>
    <xf numFmtId="164" fontId="23" fillId="6" borderId="21" xfId="0" applyNumberFormat="1" applyFont="1" applyFill="1" applyBorder="1" applyAlignment="1">
      <alignment horizontal="center" vertical="center" wrapText="1"/>
    </xf>
    <xf numFmtId="164" fontId="11" fillId="6" borderId="21" xfId="0" applyNumberFormat="1"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164" fontId="7" fillId="6" borderId="28" xfId="0" quotePrefix="1" applyNumberFormat="1" applyFont="1" applyFill="1" applyBorder="1" applyAlignment="1">
      <alignment horizontal="right" vertical="center" wrapText="1"/>
    </xf>
    <xf numFmtId="164" fontId="18" fillId="7" borderId="21" xfId="0" applyNumberFormat="1" applyFont="1" applyFill="1" applyBorder="1" applyAlignment="1">
      <alignment horizontal="center" vertical="center" wrapText="1"/>
    </xf>
    <xf numFmtId="167" fontId="7" fillId="0" borderId="0" xfId="0" applyNumberFormat="1" applyFont="1" applyAlignment="1">
      <alignment horizontal="left" vertical="center" wrapText="1"/>
    </xf>
    <xf numFmtId="0" fontId="7" fillId="6" borderId="28" xfId="0" applyFont="1" applyFill="1" applyBorder="1" applyAlignment="1">
      <alignment horizontal="right" vertical="center" wrapText="1"/>
    </xf>
    <xf numFmtId="172" fontId="1" fillId="6" borderId="29" xfId="0" applyNumberFormat="1" applyFont="1" applyFill="1" applyBorder="1" applyAlignment="1">
      <alignment horizontal="center" vertical="center" wrapText="1"/>
    </xf>
    <xf numFmtId="167" fontId="1" fillId="6" borderId="34" xfId="0" applyNumberFormat="1" applyFont="1" applyFill="1" applyBorder="1" applyAlignment="1">
      <alignment horizontal="center" vertical="center" wrapText="1"/>
    </xf>
    <xf numFmtId="164" fontId="23" fillId="7" borderId="29" xfId="0" applyNumberFormat="1" applyFont="1" applyFill="1" applyBorder="1" applyAlignment="1">
      <alignment horizontal="center" vertical="center" wrapText="1"/>
    </xf>
    <xf numFmtId="164" fontId="23" fillId="6" borderId="28" xfId="0" applyNumberFormat="1" applyFont="1" applyFill="1" applyBorder="1" applyAlignment="1">
      <alignment horizontal="right" vertical="center" wrapText="1"/>
    </xf>
    <xf numFmtId="164" fontId="23" fillId="6" borderId="1" xfId="0" applyNumberFormat="1" applyFont="1" applyFill="1" applyBorder="1" applyAlignment="1">
      <alignment horizontal="center" vertical="center" wrapText="1"/>
    </xf>
    <xf numFmtId="167" fontId="23" fillId="6" borderId="30" xfId="0" applyNumberFormat="1" applyFont="1" applyFill="1" applyBorder="1" applyAlignment="1">
      <alignment horizontal="left" vertical="center" wrapText="1"/>
    </xf>
    <xf numFmtId="49" fontId="17" fillId="7" borderId="28" xfId="0" applyNumberFormat="1" applyFont="1" applyFill="1" applyBorder="1" applyAlignment="1">
      <alignment horizontal="right" vertical="center" wrapText="1"/>
    </xf>
    <xf numFmtId="167" fontId="17" fillId="7" borderId="27" xfId="0" applyNumberFormat="1" applyFont="1" applyFill="1" applyBorder="1" applyAlignment="1">
      <alignment horizontal="left" vertical="center" wrapText="1"/>
    </xf>
    <xf numFmtId="164" fontId="28" fillId="6" borderId="28" xfId="0" applyNumberFormat="1" applyFont="1" applyFill="1" applyBorder="1" applyAlignment="1">
      <alignment horizontal="center" vertical="center" wrapText="1"/>
    </xf>
    <xf numFmtId="164" fontId="7" fillId="6" borderId="54" xfId="0" applyNumberFormat="1" applyFont="1" applyFill="1" applyBorder="1" applyAlignment="1">
      <alignment horizontal="center" vertical="center" wrapText="1"/>
    </xf>
    <xf numFmtId="164" fontId="1" fillId="6" borderId="55" xfId="0" applyNumberFormat="1" applyFont="1" applyFill="1" applyBorder="1" applyAlignment="1">
      <alignment horizontal="center" vertical="center" wrapText="1"/>
    </xf>
    <xf numFmtId="164" fontId="1" fillId="6" borderId="28" xfId="0" applyNumberFormat="1" applyFont="1" applyFill="1" applyBorder="1" applyAlignment="1">
      <alignment horizontal="center" vertical="center" wrapText="1"/>
    </xf>
    <xf numFmtId="168" fontId="23" fillId="6" borderId="28" xfId="0" applyNumberFormat="1" applyFont="1" applyFill="1" applyBorder="1" applyAlignment="1">
      <alignment horizontal="right" vertical="center" wrapText="1"/>
    </xf>
    <xf numFmtId="164" fontId="23" fillId="6" borderId="28" xfId="0" quotePrefix="1" applyNumberFormat="1" applyFont="1" applyFill="1" applyBorder="1" applyAlignment="1">
      <alignment horizontal="right" vertical="center" wrapText="1"/>
    </xf>
    <xf numFmtId="164" fontId="1" fillId="6" borderId="35" xfId="0" applyNumberFormat="1" applyFont="1" applyFill="1" applyBorder="1" applyAlignment="1">
      <alignment horizontal="center" vertical="center" wrapText="1"/>
    </xf>
    <xf numFmtId="0" fontId="1" fillId="0" borderId="0" xfId="0" applyFont="1"/>
    <xf numFmtId="0" fontId="1" fillId="0" borderId="0" xfId="0" applyFont="1" applyAlignment="1">
      <alignment wrapText="1"/>
    </xf>
    <xf numFmtId="0" fontId="2" fillId="0" borderId="0" xfId="0" applyFont="1" applyAlignment="1">
      <alignment vertical="center" wrapText="1"/>
    </xf>
    <xf numFmtId="0" fontId="29" fillId="0" borderId="0" xfId="0" applyFont="1"/>
    <xf numFmtId="14" fontId="6" fillId="0" borderId="0" xfId="0" applyNumberFormat="1" applyFont="1" applyAlignment="1">
      <alignment horizontal="center" vertical="center" wrapText="1"/>
    </xf>
    <xf numFmtId="171" fontId="7" fillId="6" borderId="36" xfId="0" applyNumberFormat="1" applyFont="1" applyFill="1" applyBorder="1" applyAlignment="1">
      <alignment horizontal="left" vertical="center" wrapText="1"/>
    </xf>
    <xf numFmtId="167" fontId="7" fillId="0" borderId="47" xfId="0" applyNumberFormat="1" applyFont="1" applyBorder="1" applyAlignment="1">
      <alignment horizontal="center" vertical="center" wrapText="1"/>
    </xf>
    <xf numFmtId="168" fontId="7" fillId="0" borderId="28" xfId="0" applyNumberFormat="1" applyFont="1" applyBorder="1" applyAlignment="1">
      <alignment horizontal="right" vertical="center" wrapText="1"/>
    </xf>
    <xf numFmtId="164" fontId="23" fillId="0" borderId="28" xfId="0" applyNumberFormat="1" applyFont="1" applyBorder="1" applyAlignment="1">
      <alignment horizontal="right" vertical="center" wrapText="1"/>
    </xf>
    <xf numFmtId="164" fontId="23" fillId="7" borderId="1" xfId="0" applyNumberFormat="1" applyFont="1" applyFill="1" applyBorder="1" applyAlignment="1">
      <alignment horizontal="center" vertical="center" wrapText="1"/>
    </xf>
    <xf numFmtId="164" fontId="7" fillId="0" borderId="49" xfId="0" applyNumberFormat="1" applyFont="1" applyBorder="1" applyAlignment="1">
      <alignment horizontal="center" vertical="center" wrapText="1"/>
    </xf>
    <xf numFmtId="164" fontId="7" fillId="0" borderId="48" xfId="0" applyNumberFormat="1" applyFont="1" applyBorder="1" applyAlignment="1">
      <alignment horizontal="center" vertical="center" wrapText="1"/>
    </xf>
    <xf numFmtId="167" fontId="7" fillId="0" borderId="30" xfId="0" applyNumberFormat="1" applyFont="1" applyBorder="1" applyAlignment="1">
      <alignment horizontal="left" vertical="center" wrapText="1"/>
    </xf>
    <xf numFmtId="164" fontId="7" fillId="6" borderId="34" xfId="0" applyNumberFormat="1" applyFont="1" applyFill="1" applyBorder="1" applyAlignment="1">
      <alignment horizontal="center" vertical="center" wrapText="1"/>
    </xf>
    <xf numFmtId="167" fontId="23" fillId="7" borderId="30" xfId="0" applyNumberFormat="1" applyFont="1" applyFill="1" applyBorder="1" applyAlignment="1">
      <alignment horizontal="left" vertical="center" wrapText="1"/>
    </xf>
    <xf numFmtId="9" fontId="6" fillId="0" borderId="0" xfId="0" applyNumberFormat="1" applyFont="1"/>
    <xf numFmtId="0" fontId="1" fillId="0" borderId="59" xfId="0" applyFont="1" applyBorder="1" applyAlignment="1">
      <alignment wrapText="1"/>
    </xf>
    <xf numFmtId="0" fontId="1" fillId="0" borderId="60" xfId="0" applyFont="1" applyBorder="1" applyAlignment="1">
      <alignment horizontal="center" wrapText="1"/>
    </xf>
    <xf numFmtId="49" fontId="1" fillId="0" borderId="60" xfId="0" applyNumberFormat="1" applyFont="1" applyBorder="1" applyAlignment="1">
      <alignment horizontal="center" wrapText="1"/>
    </xf>
    <xf numFmtId="0" fontId="1" fillId="0" borderId="61" xfId="0" applyFont="1" applyBorder="1" applyAlignment="1">
      <alignment horizontal="center" wrapText="1"/>
    </xf>
    <xf numFmtId="0" fontId="1" fillId="0" borderId="20" xfId="0" applyFont="1" applyBorder="1" applyAlignment="1">
      <alignment vertical="center" wrapText="1"/>
    </xf>
    <xf numFmtId="0" fontId="1" fillId="0" borderId="20" xfId="0" applyFont="1" applyBorder="1" applyAlignment="1">
      <alignment horizontal="center" vertical="center" wrapText="1"/>
    </xf>
    <xf numFmtId="21" fontId="2" fillId="0" borderId="20" xfId="0" applyNumberFormat="1" applyFont="1" applyBorder="1" applyAlignment="1">
      <alignment horizontal="center" vertical="center" wrapText="1"/>
    </xf>
    <xf numFmtId="173" fontId="1" fillId="0" borderId="20" xfId="0" applyNumberFormat="1" applyFont="1" applyBorder="1" applyAlignment="1">
      <alignment horizontal="center"/>
    </xf>
    <xf numFmtId="49" fontId="1" fillId="0" borderId="20" xfId="0" applyNumberFormat="1" applyFont="1" applyBorder="1" applyAlignment="1">
      <alignment horizontal="center"/>
    </xf>
    <xf numFmtId="45" fontId="1" fillId="0" borderId="20" xfId="0" applyNumberFormat="1" applyFont="1" applyBorder="1" applyAlignment="1">
      <alignment horizontal="center"/>
    </xf>
    <xf numFmtId="0" fontId="1" fillId="0" borderId="20" xfId="0" applyFont="1" applyBorder="1" applyAlignment="1">
      <alignment horizontal="center"/>
    </xf>
    <xf numFmtId="0" fontId="1" fillId="0" borderId="62" xfId="0" applyFont="1" applyBorder="1" applyAlignment="1">
      <alignment vertical="center" wrapText="1"/>
    </xf>
    <xf numFmtId="0" fontId="1" fillId="0" borderId="63" xfId="0" applyFont="1" applyBorder="1" applyAlignment="1">
      <alignment horizontal="center" vertical="center" wrapText="1"/>
    </xf>
    <xf numFmtId="21" fontId="1" fillId="0" borderId="63" xfId="0" applyNumberFormat="1" applyFont="1" applyBorder="1" applyAlignment="1">
      <alignment horizontal="center" vertical="center" wrapText="1"/>
    </xf>
    <xf numFmtId="173" fontId="1" fillId="0" borderId="63" xfId="0" applyNumberFormat="1" applyFont="1" applyBorder="1" applyAlignment="1">
      <alignment horizontal="center"/>
    </xf>
    <xf numFmtId="49" fontId="1" fillId="0" borderId="63" xfId="0" applyNumberFormat="1" applyFont="1" applyBorder="1" applyAlignment="1">
      <alignment horizontal="center"/>
    </xf>
    <xf numFmtId="45" fontId="1" fillId="0" borderId="63" xfId="0" applyNumberFormat="1" applyFont="1" applyBorder="1" applyAlignment="1">
      <alignment horizontal="center"/>
    </xf>
    <xf numFmtId="45" fontId="1" fillId="0" borderId="64" xfId="0" applyNumberFormat="1" applyFont="1" applyBorder="1" applyAlignment="1">
      <alignment horizontal="center"/>
    </xf>
    <xf numFmtId="0" fontId="1" fillId="0" borderId="65" xfId="0" applyFont="1" applyBorder="1" applyAlignment="1">
      <alignment vertical="center" wrapText="1"/>
    </xf>
    <xf numFmtId="0" fontId="1" fillId="0" borderId="66" xfId="0" applyFont="1" applyBorder="1" applyAlignment="1">
      <alignment horizontal="center" vertical="center" wrapText="1"/>
    </xf>
    <xf numFmtId="21" fontId="1" fillId="0" borderId="66" xfId="0" applyNumberFormat="1" applyFont="1" applyBorder="1" applyAlignment="1">
      <alignment horizontal="center" vertical="center" wrapText="1"/>
    </xf>
    <xf numFmtId="173" fontId="1" fillId="0" borderId="66" xfId="0" applyNumberFormat="1" applyFont="1" applyBorder="1" applyAlignment="1">
      <alignment horizontal="center"/>
    </xf>
    <xf numFmtId="49" fontId="1" fillId="0" borderId="66" xfId="0" applyNumberFormat="1" applyFont="1" applyBorder="1" applyAlignment="1">
      <alignment horizontal="center"/>
    </xf>
    <xf numFmtId="45" fontId="1" fillId="0" borderId="66" xfId="0" applyNumberFormat="1" applyFont="1" applyBorder="1" applyAlignment="1">
      <alignment horizontal="center"/>
    </xf>
    <xf numFmtId="45" fontId="1" fillId="0" borderId="67" xfId="0" applyNumberFormat="1" applyFont="1" applyBorder="1" applyAlignment="1">
      <alignment horizontal="center"/>
    </xf>
    <xf numFmtId="0" fontId="1" fillId="0" borderId="68" xfId="0" applyFont="1" applyBorder="1" applyAlignment="1">
      <alignment vertical="center" wrapText="1"/>
    </xf>
    <xf numFmtId="0" fontId="1" fillId="0" borderId="69" xfId="0" applyFont="1" applyBorder="1" applyAlignment="1">
      <alignment horizontal="center" vertical="center" wrapText="1"/>
    </xf>
    <xf numFmtId="21" fontId="1" fillId="0" borderId="69" xfId="0" applyNumberFormat="1" applyFont="1" applyBorder="1" applyAlignment="1">
      <alignment horizontal="center" vertical="center" wrapText="1"/>
    </xf>
    <xf numFmtId="173" fontId="1" fillId="0" borderId="69" xfId="0" applyNumberFormat="1" applyFont="1" applyBorder="1" applyAlignment="1">
      <alignment horizontal="center"/>
    </xf>
    <xf numFmtId="49" fontId="1" fillId="0" borderId="69" xfId="0" applyNumberFormat="1" applyFont="1" applyBorder="1" applyAlignment="1">
      <alignment horizontal="center"/>
    </xf>
    <xf numFmtId="45" fontId="1" fillId="0" borderId="69" xfId="0" applyNumberFormat="1" applyFont="1" applyBorder="1" applyAlignment="1">
      <alignment horizontal="center"/>
    </xf>
    <xf numFmtId="45" fontId="1" fillId="0" borderId="70" xfId="0" applyNumberFormat="1" applyFont="1" applyBorder="1" applyAlignment="1">
      <alignment horizontal="center"/>
    </xf>
    <xf numFmtId="0" fontId="1" fillId="0" borderId="32" xfId="0" applyFont="1" applyBorder="1"/>
    <xf numFmtId="21" fontId="1" fillId="0" borderId="32" xfId="0" applyNumberFormat="1" applyFont="1" applyBorder="1" applyAlignment="1">
      <alignment horizontal="center" vertical="center" wrapText="1"/>
    </xf>
    <xf numFmtId="173" fontId="1" fillId="0" borderId="32" xfId="0" applyNumberFormat="1" applyFont="1" applyBorder="1" applyAlignment="1">
      <alignment horizontal="center"/>
    </xf>
    <xf numFmtId="49" fontId="1" fillId="0" borderId="32" xfId="0" applyNumberFormat="1" applyFont="1" applyBorder="1" applyAlignment="1">
      <alignment horizontal="center"/>
    </xf>
    <xf numFmtId="45" fontId="1" fillId="0" borderId="32" xfId="0" applyNumberFormat="1" applyFont="1" applyBorder="1" applyAlignment="1">
      <alignment horizontal="center"/>
    </xf>
    <xf numFmtId="0" fontId="1" fillId="0" borderId="66" xfId="0" applyFont="1" applyBorder="1"/>
    <xf numFmtId="0" fontId="1" fillId="0" borderId="11" xfId="0" applyFont="1" applyBorder="1"/>
    <xf numFmtId="21" fontId="1" fillId="0" borderId="11" xfId="0" applyNumberFormat="1" applyFont="1" applyBorder="1" applyAlignment="1">
      <alignment horizontal="center" vertical="center" wrapText="1"/>
    </xf>
    <xf numFmtId="173" fontId="1" fillId="0" borderId="11" xfId="0" applyNumberFormat="1" applyFont="1" applyBorder="1" applyAlignment="1">
      <alignment horizontal="center"/>
    </xf>
    <xf numFmtId="49" fontId="1" fillId="0" borderId="11" xfId="0" applyNumberFormat="1" applyFont="1" applyBorder="1" applyAlignment="1">
      <alignment horizontal="center"/>
    </xf>
    <xf numFmtId="45" fontId="1" fillId="0" borderId="11" xfId="0" applyNumberFormat="1" applyFont="1" applyBorder="1" applyAlignment="1">
      <alignment horizontal="center"/>
    </xf>
    <xf numFmtId="0" fontId="1" fillId="0" borderId="62" xfId="0" applyFont="1" applyBorder="1"/>
    <xf numFmtId="0" fontId="1" fillId="8" borderId="63" xfId="0" applyFont="1" applyFill="1" applyBorder="1"/>
    <xf numFmtId="21" fontId="1" fillId="8" borderId="63" xfId="0" applyNumberFormat="1" applyFont="1" applyFill="1" applyBorder="1" applyAlignment="1">
      <alignment horizontal="center" vertical="center" wrapText="1"/>
    </xf>
    <xf numFmtId="0" fontId="1" fillId="0" borderId="65" xfId="0" applyFont="1" applyBorder="1"/>
    <xf numFmtId="0" fontId="1" fillId="8" borderId="66" xfId="0" applyFont="1" applyFill="1" applyBorder="1"/>
    <xf numFmtId="21" fontId="1" fillId="8" borderId="66" xfId="0" applyNumberFormat="1" applyFont="1" applyFill="1" applyBorder="1" applyAlignment="1">
      <alignment horizontal="center" vertical="center" wrapText="1"/>
    </xf>
    <xf numFmtId="0" fontId="1" fillId="0" borderId="68" xfId="0" applyFont="1" applyBorder="1"/>
    <xf numFmtId="0" fontId="1" fillId="8" borderId="69" xfId="0" applyFont="1" applyFill="1" applyBorder="1"/>
    <xf numFmtId="21" fontId="1" fillId="8" borderId="69" xfId="0" applyNumberFormat="1" applyFont="1" applyFill="1" applyBorder="1" applyAlignment="1">
      <alignment horizontal="center" vertical="center" wrapText="1"/>
    </xf>
    <xf numFmtId="49" fontId="1" fillId="0" borderId="0" xfId="0" applyNumberFormat="1" applyFont="1" applyAlignment="1">
      <alignment horizontal="left"/>
    </xf>
    <xf numFmtId="0" fontId="30" fillId="0" borderId="71" xfId="0" applyFont="1" applyBorder="1" applyAlignment="1">
      <alignment horizontal="left" vertical="top"/>
    </xf>
    <xf numFmtId="0" fontId="1" fillId="0" borderId="72" xfId="0" applyFont="1" applyBorder="1" applyAlignment="1">
      <alignment vertical="top" wrapText="1"/>
    </xf>
    <xf numFmtId="0" fontId="31" fillId="0" borderId="71" xfId="0" applyFont="1" applyBorder="1" applyAlignment="1">
      <alignment horizontal="left" vertical="top"/>
    </xf>
    <xf numFmtId="0" fontId="1" fillId="0" borderId="0" xfId="0" applyFont="1" applyAlignment="1">
      <alignment horizontal="left" vertical="top"/>
    </xf>
    <xf numFmtId="21" fontId="2" fillId="0" borderId="0" xfId="0" applyNumberFormat="1" applyFont="1" applyAlignment="1">
      <alignment horizontal="center" vertical="center" wrapText="1"/>
    </xf>
    <xf numFmtId="173" fontId="1" fillId="0" borderId="0" xfId="0" applyNumberFormat="1" applyFont="1" applyAlignment="1">
      <alignment horizontal="center"/>
    </xf>
    <xf numFmtId="1" fontId="1" fillId="0" borderId="0" xfId="0" applyNumberFormat="1" applyFont="1"/>
    <xf numFmtId="49" fontId="35" fillId="6" borderId="28" xfId="0" applyNumberFormat="1" applyFont="1" applyFill="1" applyBorder="1" applyAlignment="1">
      <alignment horizontal="right" vertical="center" wrapText="1"/>
    </xf>
    <xf numFmtId="49" fontId="35" fillId="7" borderId="28" xfId="0" applyNumberFormat="1" applyFont="1" applyFill="1" applyBorder="1" applyAlignment="1">
      <alignment horizontal="right" vertical="center" wrapText="1"/>
    </xf>
    <xf numFmtId="49" fontId="35" fillId="0" borderId="46" xfId="0" applyNumberFormat="1" applyFont="1" applyBorder="1" applyAlignment="1">
      <alignment horizontal="right" vertical="center" wrapText="1"/>
    </xf>
    <xf numFmtId="49" fontId="34" fillId="0" borderId="63" xfId="0" applyNumberFormat="1" applyFont="1" applyBorder="1" applyAlignment="1">
      <alignment horizontal="center"/>
    </xf>
    <xf numFmtId="168" fontId="35" fillId="7" borderId="28" xfId="0" applyNumberFormat="1" applyFont="1" applyFill="1" applyBorder="1" applyAlignment="1">
      <alignment horizontal="right" vertical="center" wrapText="1"/>
    </xf>
    <xf numFmtId="168" fontId="35" fillId="9" borderId="28" xfId="0" applyNumberFormat="1" applyFont="1" applyFill="1" applyBorder="1" applyAlignment="1">
      <alignment horizontal="right" vertical="center" wrapText="1"/>
    </xf>
    <xf numFmtId="164" fontId="7" fillId="9" borderId="1" xfId="0" applyNumberFormat="1" applyFont="1" applyFill="1" applyBorder="1" applyAlignment="1">
      <alignment horizontal="center" vertical="center" wrapText="1"/>
    </xf>
    <xf numFmtId="167" fontId="7" fillId="9" borderId="30" xfId="0" applyNumberFormat="1" applyFont="1" applyFill="1" applyBorder="1" applyAlignment="1">
      <alignment horizontal="left" vertical="center" wrapText="1"/>
    </xf>
    <xf numFmtId="167" fontId="7" fillId="6" borderId="30" xfId="0" applyNumberFormat="1" applyFont="1" applyFill="1" applyBorder="1" applyAlignment="1">
      <alignment horizontal="right" vertical="center" wrapText="1"/>
    </xf>
    <xf numFmtId="49" fontId="35" fillId="6" borderId="50" xfId="0" applyNumberFormat="1" applyFont="1" applyFill="1" applyBorder="1" applyAlignment="1">
      <alignment horizontal="right" vertical="center" wrapText="1"/>
    </xf>
    <xf numFmtId="49" fontId="7" fillId="6" borderId="73" xfId="0" applyNumberFormat="1" applyFont="1" applyFill="1" applyBorder="1" applyAlignment="1">
      <alignment horizontal="right" vertical="center" wrapText="1"/>
    </xf>
    <xf numFmtId="167" fontId="7" fillId="6" borderId="74" xfId="0" applyNumberFormat="1" applyFont="1" applyFill="1" applyBorder="1" applyAlignment="1">
      <alignment horizontal="left" vertical="center" wrapText="1"/>
    </xf>
    <xf numFmtId="167" fontId="11" fillId="0" borderId="27" xfId="0" applyNumberFormat="1" applyFont="1" applyBorder="1" applyAlignment="1">
      <alignment horizontal="left" vertical="center" wrapText="1"/>
    </xf>
    <xf numFmtId="0" fontId="1" fillId="0" borderId="0" xfId="0" applyFont="1" applyAlignment="1">
      <alignment vertical="top"/>
    </xf>
    <xf numFmtId="0" fontId="29" fillId="0" borderId="0" xfId="0" applyFont="1" applyAlignment="1">
      <alignment wrapText="1"/>
    </xf>
    <xf numFmtId="167" fontId="7" fillId="0" borderId="51" xfId="0" applyNumberFormat="1" applyFont="1" applyBorder="1" applyAlignment="1">
      <alignment horizontal="center" vertical="center" wrapText="1"/>
    </xf>
    <xf numFmtId="164" fontId="7" fillId="7" borderId="51" xfId="0" applyNumberFormat="1" applyFont="1" applyFill="1" applyBorder="1" applyAlignment="1">
      <alignment horizontal="center" vertical="center" wrapText="1"/>
    </xf>
    <xf numFmtId="167" fontId="7" fillId="0" borderId="76" xfId="0" applyNumberFormat="1" applyFont="1" applyBorder="1" applyAlignment="1">
      <alignment horizontal="left" vertical="center" wrapText="1"/>
    </xf>
    <xf numFmtId="167" fontId="7" fillId="0" borderId="75" xfId="0" applyNumberFormat="1" applyFont="1" applyBorder="1" applyAlignment="1">
      <alignment horizontal="left" vertical="center" wrapText="1"/>
    </xf>
    <xf numFmtId="167" fontId="7" fillId="6" borderId="75" xfId="0" applyNumberFormat="1" applyFont="1" applyFill="1" applyBorder="1" applyAlignment="1">
      <alignment horizontal="left" vertical="center" wrapText="1"/>
    </xf>
    <xf numFmtId="166" fontId="21" fillId="7" borderId="78" xfId="0" applyNumberFormat="1" applyFont="1" applyFill="1" applyBorder="1" applyAlignment="1">
      <alignment horizontal="center" vertical="center" wrapText="1"/>
    </xf>
    <xf numFmtId="0" fontId="12" fillId="5" borderId="11" xfId="0" applyFont="1" applyFill="1" applyBorder="1" applyAlignment="1">
      <alignment horizontal="center" vertical="top" wrapText="1"/>
    </xf>
    <xf numFmtId="0" fontId="10" fillId="0" borderId="20" xfId="0" applyFont="1" applyBorder="1"/>
    <xf numFmtId="0" fontId="10" fillId="0" borderId="32" xfId="0" applyFont="1" applyBorder="1"/>
    <xf numFmtId="166" fontId="22" fillId="7" borderId="40" xfId="0" applyNumberFormat="1" applyFont="1" applyFill="1" applyBorder="1" applyAlignment="1">
      <alignment horizontal="center" vertical="center" wrapText="1"/>
    </xf>
    <xf numFmtId="0" fontId="10" fillId="0" borderId="41" xfId="0" applyFont="1" applyBorder="1"/>
    <xf numFmtId="0" fontId="7" fillId="0" borderId="22" xfId="0" applyFont="1" applyBorder="1" applyAlignment="1">
      <alignment horizontal="center" vertical="center" wrapText="1"/>
    </xf>
    <xf numFmtId="0" fontId="10" fillId="0" borderId="23" xfId="0" applyFont="1" applyBorder="1"/>
    <xf numFmtId="166" fontId="15" fillId="6" borderId="14" xfId="0" applyNumberFormat="1" applyFont="1" applyFill="1" applyBorder="1" applyAlignment="1">
      <alignment horizontal="center" vertical="center" wrapText="1"/>
    </xf>
    <xf numFmtId="0" fontId="10" fillId="0" borderId="15" xfId="0" applyFont="1" applyBorder="1"/>
    <xf numFmtId="166" fontId="27" fillId="7" borderId="14" xfId="0" applyNumberFormat="1" applyFont="1" applyFill="1" applyBorder="1" applyAlignment="1">
      <alignment horizontal="center" vertical="center" wrapText="1"/>
    </xf>
    <xf numFmtId="0" fontId="35" fillId="6" borderId="22" xfId="0" applyFont="1" applyFill="1" applyBorder="1" applyAlignment="1">
      <alignment horizontal="center" vertical="center" wrapText="1"/>
    </xf>
    <xf numFmtId="49" fontId="7" fillId="6" borderId="55" xfId="0" applyNumberFormat="1" applyFont="1" applyFill="1" applyBorder="1" applyAlignment="1">
      <alignment horizontal="center" vertical="center" wrapText="1"/>
    </xf>
    <xf numFmtId="49" fontId="7" fillId="6" borderId="45" xfId="0" applyNumberFormat="1" applyFont="1" applyFill="1" applyBorder="1" applyAlignment="1">
      <alignment horizontal="center" vertical="center" wrapText="1"/>
    </xf>
    <xf numFmtId="0" fontId="7" fillId="6" borderId="2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0" borderId="6" xfId="0" applyFont="1" applyBorder="1"/>
    <xf numFmtId="164" fontId="23" fillId="6" borderId="22" xfId="0" applyNumberFormat="1" applyFont="1" applyFill="1" applyBorder="1" applyAlignment="1">
      <alignment horizontal="center" vertical="center" wrapText="1"/>
    </xf>
    <xf numFmtId="0" fontId="10" fillId="0" borderId="24" xfId="0" applyFont="1" applyBorder="1"/>
    <xf numFmtId="0" fontId="10" fillId="0" borderId="25" xfId="0" applyFont="1" applyBorder="1"/>
    <xf numFmtId="164" fontId="23" fillId="6" borderId="40" xfId="0" quotePrefix="1" applyNumberFormat="1" applyFont="1" applyFill="1" applyBorder="1" applyAlignment="1">
      <alignment horizontal="center" vertical="center" wrapText="1"/>
    </xf>
    <xf numFmtId="0" fontId="10" fillId="0" borderId="42" xfId="0" applyFont="1" applyBorder="1"/>
    <xf numFmtId="0" fontId="10" fillId="0" borderId="43" xfId="0" applyFont="1" applyBorder="1"/>
    <xf numFmtId="0" fontId="10" fillId="0" borderId="17" xfId="0" applyFont="1" applyBorder="1"/>
    <xf numFmtId="0" fontId="10" fillId="0" borderId="18" xfId="0" applyFont="1" applyBorder="1"/>
    <xf numFmtId="164" fontId="7" fillId="7" borderId="22" xfId="0" applyNumberFormat="1" applyFont="1" applyFill="1" applyBorder="1" applyAlignment="1">
      <alignment horizontal="center" vertical="center" wrapText="1"/>
    </xf>
    <xf numFmtId="0" fontId="10" fillId="0" borderId="8" xfId="0" applyFont="1" applyBorder="1"/>
    <xf numFmtId="0" fontId="10" fillId="0" borderId="9" xfId="0" applyFont="1" applyBorder="1"/>
    <xf numFmtId="167" fontId="7" fillId="6" borderId="55" xfId="0" applyNumberFormat="1" applyFont="1" applyFill="1" applyBorder="1" applyAlignment="1">
      <alignment horizontal="center" vertical="center" wrapText="1"/>
    </xf>
    <xf numFmtId="167" fontId="7" fillId="6" borderId="77" xfId="0" applyNumberFormat="1" applyFont="1" applyFill="1" applyBorder="1" applyAlignment="1">
      <alignment horizontal="center" vertical="center" wrapText="1"/>
    </xf>
    <xf numFmtId="1" fontId="17" fillId="6" borderId="11" xfId="0" applyNumberFormat="1" applyFont="1" applyFill="1" applyBorder="1" applyAlignment="1">
      <alignment horizontal="center" vertical="center" wrapText="1"/>
    </xf>
    <xf numFmtId="1" fontId="17" fillId="7" borderId="11" xfId="0" applyNumberFormat="1" applyFont="1" applyFill="1" applyBorder="1" applyAlignment="1">
      <alignment horizontal="center" vertical="center" wrapText="1"/>
    </xf>
    <xf numFmtId="164" fontId="23" fillId="9" borderId="55" xfId="0" applyNumberFormat="1" applyFont="1" applyFill="1" applyBorder="1" applyAlignment="1">
      <alignment horizontal="center" vertical="center" wrapText="1"/>
    </xf>
    <xf numFmtId="164" fontId="23" fillId="9" borderId="57" xfId="0" applyNumberFormat="1" applyFont="1" applyFill="1" applyBorder="1" applyAlignment="1">
      <alignment horizontal="center" vertical="center" wrapText="1"/>
    </xf>
    <xf numFmtId="164" fontId="23" fillId="9" borderId="58" xfId="0" applyNumberFormat="1" applyFont="1" applyFill="1" applyBorder="1" applyAlignment="1">
      <alignment horizontal="center" vertical="center" wrapText="1"/>
    </xf>
    <xf numFmtId="166" fontId="25" fillId="6" borderId="40" xfId="0" applyNumberFormat="1" applyFont="1" applyFill="1" applyBorder="1" applyAlignment="1">
      <alignment horizontal="center" vertical="center" wrapText="1"/>
    </xf>
    <xf numFmtId="164" fontId="7" fillId="6" borderId="22" xfId="0" applyNumberFormat="1" applyFont="1" applyFill="1" applyBorder="1" applyAlignment="1">
      <alignment horizontal="center" vertical="center" wrapText="1"/>
    </xf>
    <xf numFmtId="164" fontId="33" fillId="6" borderId="22" xfId="0" applyNumberFormat="1" applyFont="1" applyFill="1" applyBorder="1" applyAlignment="1">
      <alignment horizontal="center" vertical="center" wrapText="1"/>
    </xf>
    <xf numFmtId="0" fontId="33" fillId="0" borderId="24" xfId="0" applyFont="1" applyBorder="1"/>
    <xf numFmtId="0" fontId="33" fillId="0" borderId="25" xfId="0" applyFont="1" applyBorder="1"/>
    <xf numFmtId="1" fontId="26" fillId="7" borderId="11" xfId="0" applyNumberFormat="1" applyFont="1" applyFill="1" applyBorder="1" applyAlignment="1">
      <alignment horizontal="center" vertical="center" wrapText="1"/>
    </xf>
    <xf numFmtId="0" fontId="7" fillId="7" borderId="22" xfId="0" applyFont="1" applyFill="1" applyBorder="1" applyAlignment="1">
      <alignment horizontal="center" vertical="center" wrapText="1"/>
    </xf>
    <xf numFmtId="164" fontId="7" fillId="6" borderId="55" xfId="0" applyNumberFormat="1" applyFont="1" applyFill="1" applyBorder="1" applyAlignment="1">
      <alignment horizontal="center" vertical="center" wrapText="1"/>
    </xf>
    <xf numFmtId="164" fontId="7" fillId="6" borderId="57" xfId="0" applyNumberFormat="1" applyFont="1" applyFill="1" applyBorder="1" applyAlignment="1">
      <alignment horizontal="center" vertical="center" wrapText="1"/>
    </xf>
    <xf numFmtId="164" fontId="7" fillId="6" borderId="58" xfId="0" applyNumberFormat="1" applyFont="1" applyFill="1" applyBorder="1" applyAlignment="1">
      <alignment horizontal="center" vertical="center" wrapText="1"/>
    </xf>
    <xf numFmtId="164" fontId="23" fillId="6" borderId="50" xfId="0" applyNumberFormat="1" applyFont="1" applyFill="1" applyBorder="1" applyAlignment="1">
      <alignment horizontal="center" vertical="center" wrapText="1"/>
    </xf>
    <xf numFmtId="0" fontId="10" fillId="0" borderId="52" xfId="0" applyFont="1" applyBorder="1"/>
    <xf numFmtId="0" fontId="10" fillId="0" borderId="53" xfId="0" applyFont="1" applyBorder="1"/>
    <xf numFmtId="164" fontId="26" fillId="6" borderId="50" xfId="0" applyNumberFormat="1" applyFont="1" applyFill="1" applyBorder="1" applyAlignment="1">
      <alignment horizontal="center" vertical="center" wrapText="1"/>
    </xf>
    <xf numFmtId="0" fontId="7" fillId="0" borderId="44" xfId="0" applyFont="1" applyBorder="1" applyAlignment="1">
      <alignment horizontal="center" vertical="center" wrapText="1"/>
    </xf>
    <xf numFmtId="0" fontId="10" fillId="0" borderId="45" xfId="0" applyFont="1" applyBorder="1"/>
    <xf numFmtId="167" fontId="7" fillId="6" borderId="50" xfId="0" applyNumberFormat="1" applyFont="1" applyFill="1" applyBorder="1" applyAlignment="1">
      <alignment horizontal="center" vertical="center" wrapText="1"/>
    </xf>
    <xf numFmtId="167" fontId="7" fillId="6" borderId="52" xfId="0" applyNumberFormat="1" applyFont="1" applyFill="1" applyBorder="1" applyAlignment="1">
      <alignment horizontal="center" vertical="center" wrapText="1"/>
    </xf>
    <xf numFmtId="167" fontId="7" fillId="6" borderId="56" xfId="0" applyNumberFormat="1" applyFont="1" applyFill="1" applyBorder="1" applyAlignment="1">
      <alignment horizontal="center" vertical="center" wrapText="1"/>
    </xf>
    <xf numFmtId="49" fontId="35" fillId="0" borderId="50" xfId="0" applyNumberFormat="1" applyFont="1" applyBorder="1" applyAlignment="1">
      <alignment horizontal="center" vertical="center" wrapText="1"/>
    </xf>
    <xf numFmtId="49" fontId="35" fillId="0" borderId="51" xfId="0" applyNumberFormat="1" applyFont="1" applyBorder="1" applyAlignment="1">
      <alignment horizontal="center" vertical="center" wrapText="1"/>
    </xf>
    <xf numFmtId="164" fontId="23" fillId="6" borderId="50" xfId="0" quotePrefix="1" applyNumberFormat="1" applyFont="1" applyFill="1" applyBorder="1" applyAlignment="1">
      <alignment horizontal="center" vertical="center"/>
    </xf>
    <xf numFmtId="164" fontId="23" fillId="7" borderId="22" xfId="0" applyNumberFormat="1" applyFont="1" applyFill="1" applyBorder="1" applyAlignment="1">
      <alignment horizontal="center" vertical="center" wrapText="1"/>
    </xf>
    <xf numFmtId="164" fontId="7" fillId="6" borderId="45" xfId="0" applyNumberFormat="1" applyFont="1" applyFill="1" applyBorder="1" applyAlignment="1">
      <alignment horizontal="center" vertical="center" wrapText="1"/>
    </xf>
    <xf numFmtId="166" fontId="27" fillId="0" borderId="14" xfId="0" applyNumberFormat="1" applyFont="1" applyBorder="1" applyAlignment="1">
      <alignment horizontal="center" vertical="center" wrapText="1"/>
    </xf>
    <xf numFmtId="49" fontId="7" fillId="7" borderId="50" xfId="0" applyNumberFormat="1" applyFont="1" applyFill="1" applyBorder="1" applyAlignment="1">
      <alignment horizontal="center" vertical="center" wrapText="1"/>
    </xf>
    <xf numFmtId="49" fontId="7" fillId="7" borderId="51" xfId="0" applyNumberFormat="1" applyFont="1" applyFill="1" applyBorder="1" applyAlignment="1">
      <alignment horizontal="center" vertical="center" wrapText="1"/>
    </xf>
    <xf numFmtId="164" fontId="23" fillId="0" borderId="50" xfId="0" quotePrefix="1" applyNumberFormat="1" applyFont="1" applyBorder="1" applyAlignment="1">
      <alignment horizontal="center" vertical="center"/>
    </xf>
    <xf numFmtId="0" fontId="23" fillId="0" borderId="24" xfId="0" applyFont="1" applyBorder="1"/>
    <xf numFmtId="0" fontId="23" fillId="0" borderId="25" xfId="0" applyFont="1" applyBorder="1"/>
    <xf numFmtId="0" fontId="1" fillId="0" borderId="52" xfId="0" applyFont="1" applyBorder="1" applyAlignment="1">
      <alignment vertical="top" wrapText="1"/>
    </xf>
    <xf numFmtId="0" fontId="1" fillId="0" borderId="52" xfId="0" applyFont="1" applyBorder="1" applyAlignment="1">
      <alignment horizontal="center" vertical="center" wrapText="1"/>
    </xf>
    <xf numFmtId="49" fontId="1" fillId="0" borderId="52" xfId="0" applyNumberFormat="1" applyFont="1" applyBorder="1" applyAlignment="1">
      <alignment horizontal="center" vertical="center" wrapText="1"/>
    </xf>
    <xf numFmtId="164" fontId="1" fillId="0" borderId="52" xfId="0" applyNumberFormat="1" applyFont="1" applyBorder="1" applyAlignment="1">
      <alignment horizontal="center" vertical="center" wrapText="1"/>
    </xf>
    <xf numFmtId="0" fontId="2" fillId="0" borderId="52" xfId="0" applyFont="1" applyBorder="1" applyAlignment="1">
      <alignment vertical="center" wrapText="1"/>
    </xf>
    <xf numFmtId="0" fontId="7" fillId="0" borderId="50" xfId="0" applyFont="1" applyBorder="1" applyAlignment="1">
      <alignment horizontal="center" vertical="center"/>
    </xf>
    <xf numFmtId="0" fontId="7" fillId="0" borderId="51" xfId="0" applyFont="1" applyBorder="1" applyAlignment="1">
      <alignment horizontal="center" vertical="center"/>
    </xf>
    <xf numFmtId="49" fontId="7" fillId="0" borderId="50" xfId="0" applyNumberFormat="1" applyFont="1" applyBorder="1" applyAlignment="1">
      <alignment horizontal="center" vertical="center" wrapText="1"/>
    </xf>
    <xf numFmtId="49" fontId="7" fillId="0" borderId="51" xfId="0" applyNumberFormat="1" applyFont="1" applyBorder="1" applyAlignment="1">
      <alignment horizontal="center" vertical="center" wrapText="1"/>
    </xf>
    <xf numFmtId="0" fontId="7" fillId="9" borderId="22" xfId="0" applyFont="1" applyFill="1" applyBorder="1" applyAlignment="1">
      <alignment horizontal="center" vertical="center" wrapText="1"/>
    </xf>
    <xf numFmtId="0" fontId="10" fillId="10" borderId="2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11785297549591599"/>
          <c:y val="5.1565470270542473E-2"/>
          <c:w val="0.68728121353558946"/>
          <c:h val="0.71639171197289364"/>
        </c:manualLayout>
      </c:layout>
      <c:scatterChart>
        <c:scatterStyle val="lineMarker"/>
        <c:varyColors val="0"/>
        <c:ser>
          <c:idx val="0"/>
          <c:order val="0"/>
          <c:tx>
            <c:v>Set 1</c:v>
          </c:tx>
          <c:spPr>
            <a:ln>
              <a:noFill/>
            </a:ln>
          </c:spPr>
          <c:marker>
            <c:symbol val="circle"/>
            <c:size val="7"/>
            <c:spPr>
              <a:solidFill>
                <a:srgbClr val="000080"/>
              </a:solidFill>
              <a:ln cmpd="sng">
                <a:solidFill>
                  <a:srgbClr val="000080"/>
                </a:solidFill>
              </a:ln>
            </c:spPr>
          </c:marker>
          <c:xVal>
            <c:numRef>
              <c:f>'Data Fit'!$A$2:$A$7</c:f>
              <c:numCache>
                <c:formatCode>General</c:formatCode>
                <c:ptCount val="6"/>
                <c:pt idx="0">
                  <c:v>0.5</c:v>
                </c:pt>
                <c:pt idx="1">
                  <c:v>1</c:v>
                </c:pt>
                <c:pt idx="2">
                  <c:v>3.1</c:v>
                </c:pt>
                <c:pt idx="3">
                  <c:v>6.2</c:v>
                </c:pt>
                <c:pt idx="4">
                  <c:v>13.1</c:v>
                </c:pt>
                <c:pt idx="5">
                  <c:v>26.2</c:v>
                </c:pt>
              </c:numCache>
            </c:numRef>
          </c:xVal>
          <c:yVal>
            <c:numRef>
              <c:f>'Data Fit'!$C$2:$C$7</c:f>
              <c:numCache>
                <c:formatCode>0.0</c:formatCode>
                <c:ptCount val="6"/>
                <c:pt idx="0">
                  <c:v>2.4</c:v>
                </c:pt>
                <c:pt idx="1">
                  <c:v>4.8499999999999996</c:v>
                </c:pt>
                <c:pt idx="2">
                  <c:v>16.666666666666668</c:v>
                </c:pt>
                <c:pt idx="3">
                  <c:v>34.666666666666664</c:v>
                </c:pt>
                <c:pt idx="4">
                  <c:v>76.233333333333334</c:v>
                </c:pt>
                <c:pt idx="5">
                  <c:v>160</c:v>
                </c:pt>
              </c:numCache>
            </c:numRef>
          </c:yVal>
          <c:smooth val="1"/>
          <c:extLst>
            <c:ext xmlns:c16="http://schemas.microsoft.com/office/drawing/2014/chart" uri="{C3380CC4-5D6E-409C-BE32-E72D297353CC}">
              <c16:uniqueId val="{00000000-B312-4833-B359-EB248D6AF10C}"/>
            </c:ext>
          </c:extLst>
        </c:ser>
        <c:dLbls>
          <c:showLegendKey val="0"/>
          <c:showVal val="0"/>
          <c:showCatName val="0"/>
          <c:showSerName val="0"/>
          <c:showPercent val="0"/>
          <c:showBubbleSize val="0"/>
        </c:dLbls>
        <c:axId val="533841051"/>
        <c:axId val="522611655"/>
      </c:scatterChart>
      <c:valAx>
        <c:axId val="533841051"/>
        <c:scaling>
          <c:orientation val="minMax"/>
        </c:scaling>
        <c:delete val="0"/>
        <c:axPos val="b"/>
        <c:title>
          <c:tx>
            <c:rich>
              <a:bodyPr/>
              <a:lstStyle/>
              <a:p>
                <a:pPr lvl="0">
                  <a:defRPr sz="1200" b="1" i="0">
                    <a:solidFill>
                      <a:srgbClr val="000000"/>
                    </a:solidFill>
                    <a:latin typeface="Arial"/>
                  </a:defRPr>
                </a:pPr>
                <a:r>
                  <a:rPr sz="1200" b="1" i="0">
                    <a:solidFill>
                      <a:srgbClr val="000000"/>
                    </a:solidFill>
                    <a:latin typeface="Arial"/>
                  </a:rPr>
                  <a:t>Distance (miles)</a:t>
                </a:r>
              </a:p>
            </c:rich>
          </c:tx>
          <c:layout>
            <c:manualLayout>
              <c:xMode val="edge"/>
              <c:yMode val="edge"/>
              <c:x val="0.38739789964994165"/>
              <c:y val="0.83425569041438874"/>
            </c:manualLayout>
          </c:layout>
          <c:overlay val="0"/>
        </c:title>
        <c:numFmt formatCode="General" sourceLinked="1"/>
        <c:majorTickMark val="out"/>
        <c:minorTickMark val="none"/>
        <c:tickLblPos val="nextTo"/>
        <c:spPr>
          <a:ln/>
        </c:spPr>
        <c:txPr>
          <a:bodyPr rot="0"/>
          <a:lstStyle/>
          <a:p>
            <a:pPr lvl="0">
              <a:defRPr sz="1200" b="0" i="0">
                <a:solidFill>
                  <a:srgbClr val="000000"/>
                </a:solidFill>
                <a:latin typeface="Arial"/>
              </a:defRPr>
            </a:pPr>
            <a:endParaRPr lang="en-US"/>
          </a:p>
        </c:txPr>
        <c:crossAx val="522611655"/>
        <c:crosses val="autoZero"/>
        <c:crossBetween val="midCat"/>
      </c:valAx>
      <c:valAx>
        <c:axId val="522611655"/>
        <c:scaling>
          <c:orientation val="minMax"/>
        </c:scaling>
        <c:delete val="0"/>
        <c:axPos val="l"/>
        <c:majorGridlines>
          <c:spPr>
            <a:ln>
              <a:solidFill>
                <a:srgbClr val="B7B7B7"/>
              </a:solidFill>
            </a:ln>
          </c:spPr>
        </c:majorGridlines>
        <c:title>
          <c:tx>
            <c:rich>
              <a:bodyPr/>
              <a:lstStyle/>
              <a:p>
                <a:pPr lvl="0">
                  <a:defRPr sz="1200" b="1" i="0">
                    <a:solidFill>
                      <a:srgbClr val="000000"/>
                    </a:solidFill>
                    <a:latin typeface="Arial"/>
                  </a:defRPr>
                </a:pPr>
                <a:r>
                  <a:rPr sz="1200" b="1" i="0">
                    <a:solidFill>
                      <a:srgbClr val="000000"/>
                    </a:solidFill>
                    <a:latin typeface="Arial"/>
                  </a:rPr>
                  <a:t>Time (mins)</a:t>
                </a:r>
              </a:p>
            </c:rich>
          </c:tx>
          <c:layout>
            <c:manualLayout>
              <c:xMode val="edge"/>
              <c:yMode val="edge"/>
              <c:x val="1.8669778296382729E-2"/>
              <c:y val="0.32228418961441974"/>
            </c:manualLayout>
          </c:layout>
          <c:overlay val="0"/>
        </c:title>
        <c:numFmt formatCode="0.0" sourceLinked="1"/>
        <c:majorTickMark val="out"/>
        <c:minorTickMark val="none"/>
        <c:tickLblPos val="nextTo"/>
        <c:spPr>
          <a:ln/>
        </c:spPr>
        <c:txPr>
          <a:bodyPr rot="0"/>
          <a:lstStyle/>
          <a:p>
            <a:pPr lvl="0">
              <a:defRPr sz="1200" b="0" i="0">
                <a:solidFill>
                  <a:srgbClr val="000000"/>
                </a:solidFill>
                <a:latin typeface="Arial"/>
              </a:defRPr>
            </a:pPr>
            <a:endParaRPr lang="en-US"/>
          </a:p>
        </c:txPr>
        <c:crossAx val="533841051"/>
        <c:crosses val="autoZero"/>
        <c:crossBetween val="midCat"/>
      </c:valAx>
      <c:spPr>
        <a:solidFill>
          <a:srgbClr val="C0C0C0"/>
        </a:solidFill>
      </c:spPr>
    </c:plotArea>
    <c:legend>
      <c:legendPos val="r"/>
      <c:layout>
        <c:manualLayout>
          <c:xMode val="edge"/>
          <c:yMode val="edge"/>
          <c:x val="0.11201866977829639"/>
          <c:y val="0.8931860036832413"/>
        </c:manualLayout>
      </c:layout>
      <c:overlay val="0"/>
      <c:txPr>
        <a:bodyPr/>
        <a:lstStyle/>
        <a:p>
          <a:pPr lvl="0">
            <a:defRPr sz="1000" b="0" i="0">
              <a:solidFill>
                <a:srgbClr val="000000"/>
              </a:solidFill>
              <a:latin typeface="Aria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0" i="0">
                <a:solidFill>
                  <a:srgbClr val="000000"/>
                </a:solidFill>
                <a:latin typeface="Arial"/>
              </a:defRPr>
            </a:pPr>
            <a:r>
              <a:rPr sz="1200" b="0" i="0">
                <a:solidFill>
                  <a:srgbClr val="000000"/>
                </a:solidFill>
                <a:latin typeface="Arial"/>
              </a:rPr>
              <a:t>A Value Formulation</a:t>
            </a:r>
          </a:p>
        </c:rich>
      </c:tx>
      <c:layout>
        <c:manualLayout>
          <c:xMode val="edge"/>
          <c:yMode val="edge"/>
          <c:x val="0.41500610782386083"/>
          <c:y val="2.8957528957528959E-2"/>
        </c:manualLayout>
      </c:layout>
      <c:overlay val="0"/>
    </c:title>
    <c:autoTitleDeleted val="0"/>
    <c:plotArea>
      <c:layout>
        <c:manualLayout>
          <c:xMode val="edge"/>
          <c:yMode val="edge"/>
          <c:x val="8.2063352954275012E-2"/>
          <c:y val="0.1428571428571429"/>
          <c:w val="0.67760882867958516"/>
          <c:h val="0.70270270270270263"/>
        </c:manualLayout>
      </c:layout>
      <c:scatterChart>
        <c:scatterStyle val="lineMarker"/>
        <c:varyColors val="0"/>
        <c:ser>
          <c:idx val="0"/>
          <c:order val="0"/>
          <c:tx>
            <c:v>A Formula</c:v>
          </c:tx>
          <c:spPr>
            <a:ln>
              <a:noFill/>
            </a:ln>
          </c:spPr>
          <c:marker>
            <c:symbol val="circle"/>
            <c:size val="7"/>
            <c:spPr>
              <a:solidFill>
                <a:srgbClr val="000080"/>
              </a:solidFill>
              <a:ln cmpd="sng">
                <a:solidFill>
                  <a:srgbClr val="000080"/>
                </a:solidFill>
              </a:ln>
            </c:spPr>
          </c:marker>
          <c:trendline>
            <c:name>Linear (A Formula)</c:name>
            <c:spPr>
              <a:ln w="19050">
                <a:solidFill>
                  <a:srgbClr val="000000">
                    <a:alpha val="0"/>
                  </a:srgbClr>
                </a:solidFill>
              </a:ln>
            </c:spPr>
            <c:trendlineType val="linear"/>
            <c:dispRSqr val="0"/>
            <c:dispEq val="0"/>
          </c:trendline>
          <c:xVal>
            <c:numRef>
              <c:f>'Data Fit'!$G$2:$G$6</c:f>
              <c:numCache>
                <c:formatCode>0</c:formatCode>
                <c:ptCount val="5"/>
                <c:pt idx="0">
                  <c:v>160</c:v>
                </c:pt>
                <c:pt idx="1">
                  <c:v>175</c:v>
                </c:pt>
                <c:pt idx="2">
                  <c:v>195</c:v>
                </c:pt>
                <c:pt idx="3">
                  <c:v>210</c:v>
                </c:pt>
                <c:pt idx="4">
                  <c:v>230</c:v>
                </c:pt>
              </c:numCache>
            </c:numRef>
          </c:xVal>
          <c:yVal>
            <c:numRef>
              <c:f>'Data Fit'!$H$2:$H$6</c:f>
              <c:numCache>
                <c:formatCode>General</c:formatCode>
                <c:ptCount val="5"/>
                <c:pt idx="0">
                  <c:v>4.9564000000000004</c:v>
                </c:pt>
                <c:pt idx="1">
                  <c:v>5.4539999999999997</c:v>
                </c:pt>
                <c:pt idx="2">
                  <c:v>6.0556999999999999</c:v>
                </c:pt>
                <c:pt idx="3">
                  <c:v>6.5191999999999997</c:v>
                </c:pt>
                <c:pt idx="4">
                  <c:v>7.1578999999999997</c:v>
                </c:pt>
              </c:numCache>
            </c:numRef>
          </c:yVal>
          <c:smooth val="1"/>
          <c:extLst>
            <c:ext xmlns:c16="http://schemas.microsoft.com/office/drawing/2014/chart" uri="{C3380CC4-5D6E-409C-BE32-E72D297353CC}">
              <c16:uniqueId val="{00000001-F849-49EF-A115-79B70DC91C0A}"/>
            </c:ext>
          </c:extLst>
        </c:ser>
        <c:dLbls>
          <c:showLegendKey val="0"/>
          <c:showVal val="0"/>
          <c:showCatName val="0"/>
          <c:showSerName val="0"/>
          <c:showPercent val="0"/>
          <c:showBubbleSize val="0"/>
        </c:dLbls>
        <c:axId val="703963634"/>
        <c:axId val="1136639077"/>
      </c:scatterChart>
      <c:valAx>
        <c:axId val="703963634"/>
        <c:scaling>
          <c:orientation val="minMax"/>
        </c:scaling>
        <c:delete val="0"/>
        <c:axPos val="b"/>
        <c:title>
          <c:tx>
            <c:rich>
              <a:bodyPr/>
              <a:lstStyle/>
              <a:p>
                <a:pPr lvl="0">
                  <a:defRPr sz="1200" b="1" i="0">
                    <a:solidFill>
                      <a:srgbClr val="000000"/>
                    </a:solidFill>
                    <a:latin typeface="Arial"/>
                  </a:defRPr>
                </a:pPr>
                <a:r>
                  <a:rPr sz="1200" b="1" i="0">
                    <a:solidFill>
                      <a:srgbClr val="000000"/>
                    </a:solidFill>
                    <a:latin typeface="Arial"/>
                  </a:rPr>
                  <a:t>Time (min)</a:t>
                </a:r>
              </a:p>
            </c:rich>
          </c:tx>
          <c:layout>
            <c:manualLayout>
              <c:xMode val="edge"/>
              <c:yMode val="edge"/>
              <c:x val="0.37162978894930043"/>
              <c:y val="0.91505791505791501"/>
            </c:manualLayout>
          </c:layout>
          <c:overlay val="0"/>
        </c:title>
        <c:numFmt formatCode="0" sourceLinked="1"/>
        <c:majorTickMark val="out"/>
        <c:minorTickMark val="none"/>
        <c:tickLblPos val="nextTo"/>
        <c:spPr>
          <a:ln/>
        </c:spPr>
        <c:txPr>
          <a:bodyPr rot="0"/>
          <a:lstStyle/>
          <a:p>
            <a:pPr lvl="0">
              <a:defRPr sz="1200" b="0" i="0">
                <a:solidFill>
                  <a:srgbClr val="000000"/>
                </a:solidFill>
                <a:latin typeface="Arial"/>
              </a:defRPr>
            </a:pPr>
            <a:endParaRPr lang="en-US"/>
          </a:p>
        </c:txPr>
        <c:crossAx val="1136639077"/>
        <c:crosses val="autoZero"/>
        <c:crossBetween val="midCat"/>
      </c:valAx>
      <c:valAx>
        <c:axId val="1136639077"/>
        <c:scaling>
          <c:orientation val="minMax"/>
        </c:scaling>
        <c:delete val="0"/>
        <c:axPos val="l"/>
        <c:majorGridlines>
          <c:spPr>
            <a:ln>
              <a:solidFill>
                <a:srgbClr val="B7B7B7"/>
              </a:solidFill>
            </a:ln>
          </c:spPr>
        </c:majorGridlines>
        <c:title>
          <c:tx>
            <c:rich>
              <a:bodyPr/>
              <a:lstStyle/>
              <a:p>
                <a:pPr lvl="0">
                  <a:defRPr sz="1200" b="1" i="0">
                    <a:solidFill>
                      <a:srgbClr val="000000"/>
                    </a:solidFill>
                    <a:latin typeface="Arial"/>
                  </a:defRPr>
                </a:pPr>
                <a:r>
                  <a:rPr sz="1200" b="1" i="0">
                    <a:solidFill>
                      <a:srgbClr val="000000"/>
                    </a:solidFill>
                    <a:latin typeface="Arial"/>
                  </a:rPr>
                  <a:t>A Value</a:t>
                </a:r>
              </a:p>
            </c:rich>
          </c:tx>
          <c:layout>
            <c:manualLayout>
              <c:xMode val="edge"/>
              <c:yMode val="edge"/>
              <c:x val="1.8757327080890972E-2"/>
              <c:y val="0.43243243243243246"/>
            </c:manualLayout>
          </c:layout>
          <c:overlay val="0"/>
        </c:title>
        <c:numFmt formatCode="General" sourceLinked="1"/>
        <c:majorTickMark val="out"/>
        <c:minorTickMark val="none"/>
        <c:tickLblPos val="nextTo"/>
        <c:spPr>
          <a:ln/>
        </c:spPr>
        <c:txPr>
          <a:bodyPr rot="0"/>
          <a:lstStyle/>
          <a:p>
            <a:pPr lvl="0">
              <a:defRPr sz="1200" b="0" i="0">
                <a:solidFill>
                  <a:srgbClr val="000000"/>
                </a:solidFill>
                <a:latin typeface="Arial"/>
              </a:defRPr>
            </a:pPr>
            <a:endParaRPr lang="en-US"/>
          </a:p>
        </c:txPr>
        <c:crossAx val="703963634"/>
        <c:crosses val="autoZero"/>
        <c:crossBetween val="midCat"/>
      </c:valAx>
      <c:spPr>
        <a:solidFill>
          <a:srgbClr val="C0C0C0"/>
        </a:solidFill>
      </c:spPr>
    </c:plotArea>
    <c:legend>
      <c:legendPos val="r"/>
      <c:layout>
        <c:manualLayout>
          <c:xMode val="edge"/>
          <c:yMode val="edge"/>
          <c:x val="0.79132473622508792"/>
          <c:y val="0.44787644787644787"/>
        </c:manualLayout>
      </c:layout>
      <c:overlay val="0"/>
      <c:txPr>
        <a:bodyPr/>
        <a:lstStyle/>
        <a:p>
          <a:pPr lvl="0">
            <a:defRPr sz="1000" b="0" i="0">
              <a:solidFill>
                <a:srgbClr val="000000"/>
              </a:solidFill>
              <a:latin typeface="Aria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0" i="0">
                <a:solidFill>
                  <a:srgbClr val="000000"/>
                </a:solidFill>
                <a:latin typeface="Arial"/>
              </a:defRPr>
            </a:pPr>
            <a:r>
              <a:rPr sz="1200" b="0" i="0">
                <a:solidFill>
                  <a:srgbClr val="000000"/>
                </a:solidFill>
                <a:latin typeface="Arial"/>
              </a:rPr>
              <a:t>B Value Formulation</a:t>
            </a:r>
          </a:p>
        </c:rich>
      </c:tx>
      <c:layout>
        <c:manualLayout>
          <c:xMode val="edge"/>
          <c:yMode val="edge"/>
          <c:x val="0.41451990632318503"/>
          <c:y val="2.8901734104046242E-2"/>
        </c:manualLayout>
      </c:layout>
      <c:overlay val="0"/>
    </c:title>
    <c:autoTitleDeleted val="0"/>
    <c:plotArea>
      <c:layout>
        <c:manualLayout>
          <c:xMode val="edge"/>
          <c:yMode val="edge"/>
          <c:x val="0.12880562060889927"/>
          <c:y val="0.14258215653253806"/>
          <c:w val="0.6311475409836067"/>
          <c:h val="0.70327685316724842"/>
        </c:manualLayout>
      </c:layout>
      <c:scatterChart>
        <c:scatterStyle val="lineMarker"/>
        <c:varyColors val="0"/>
        <c:ser>
          <c:idx val="0"/>
          <c:order val="0"/>
          <c:tx>
            <c:v>B Formula</c:v>
          </c:tx>
          <c:spPr>
            <a:ln>
              <a:noFill/>
            </a:ln>
          </c:spPr>
          <c:marker>
            <c:symbol val="circle"/>
            <c:size val="7"/>
            <c:spPr>
              <a:solidFill>
                <a:srgbClr val="000080"/>
              </a:solidFill>
              <a:ln cmpd="sng">
                <a:solidFill>
                  <a:srgbClr val="000080"/>
                </a:solidFill>
              </a:ln>
            </c:spPr>
          </c:marker>
          <c:trendline>
            <c:name>Linear (B Formula)</c:name>
            <c:spPr>
              <a:ln w="19050">
                <a:solidFill>
                  <a:srgbClr val="000000">
                    <a:alpha val="0"/>
                  </a:srgbClr>
                </a:solidFill>
              </a:ln>
            </c:spPr>
            <c:trendlineType val="linear"/>
            <c:dispRSqr val="0"/>
            <c:dispEq val="0"/>
          </c:trendline>
          <c:xVal>
            <c:numRef>
              <c:f>'Data Fit'!$G$2:$G$6</c:f>
              <c:numCache>
                <c:formatCode>0</c:formatCode>
                <c:ptCount val="5"/>
                <c:pt idx="0">
                  <c:v>160</c:v>
                </c:pt>
                <c:pt idx="1">
                  <c:v>175</c:v>
                </c:pt>
                <c:pt idx="2">
                  <c:v>195</c:v>
                </c:pt>
                <c:pt idx="3">
                  <c:v>210</c:v>
                </c:pt>
                <c:pt idx="4">
                  <c:v>230</c:v>
                </c:pt>
              </c:numCache>
            </c:numRef>
          </c:xVal>
          <c:yVal>
            <c:numRef>
              <c:f>'Data Fit'!$I$2:$I$6</c:f>
              <c:numCache>
                <c:formatCode>General</c:formatCode>
                <c:ptCount val="5"/>
                <c:pt idx="0">
                  <c:v>1.0639000000000001</c:v>
                </c:pt>
                <c:pt idx="1">
                  <c:v>1.0636000000000001</c:v>
                </c:pt>
                <c:pt idx="2">
                  <c:v>1.0629999999999999</c:v>
                </c:pt>
                <c:pt idx="3">
                  <c:v>1.0633999999999999</c:v>
                </c:pt>
                <c:pt idx="4">
                  <c:v>1.0625</c:v>
                </c:pt>
              </c:numCache>
            </c:numRef>
          </c:yVal>
          <c:smooth val="1"/>
          <c:extLst>
            <c:ext xmlns:c16="http://schemas.microsoft.com/office/drawing/2014/chart" uri="{C3380CC4-5D6E-409C-BE32-E72D297353CC}">
              <c16:uniqueId val="{00000001-6127-4990-9A76-6873B2FD3726}"/>
            </c:ext>
          </c:extLst>
        </c:ser>
        <c:dLbls>
          <c:showLegendKey val="0"/>
          <c:showVal val="0"/>
          <c:showCatName val="0"/>
          <c:showSerName val="0"/>
          <c:showPercent val="0"/>
          <c:showBubbleSize val="0"/>
        </c:dLbls>
        <c:axId val="2102835988"/>
        <c:axId val="1049196081"/>
      </c:scatterChart>
      <c:valAx>
        <c:axId val="2102835988"/>
        <c:scaling>
          <c:orientation val="minMax"/>
        </c:scaling>
        <c:delete val="0"/>
        <c:axPos val="b"/>
        <c:title>
          <c:tx>
            <c:rich>
              <a:bodyPr/>
              <a:lstStyle/>
              <a:p>
                <a:pPr lvl="0">
                  <a:defRPr sz="1200" b="1" i="0">
                    <a:solidFill>
                      <a:srgbClr val="000000"/>
                    </a:solidFill>
                    <a:latin typeface="Arial"/>
                  </a:defRPr>
                </a:pPr>
                <a:r>
                  <a:rPr sz="1200" b="1" i="0">
                    <a:solidFill>
                      <a:srgbClr val="000000"/>
                    </a:solidFill>
                    <a:latin typeface="Arial"/>
                  </a:rPr>
                  <a:t>Time (min)</a:t>
                </a:r>
              </a:p>
            </c:rich>
          </c:tx>
          <c:layout>
            <c:manualLayout>
              <c:xMode val="edge"/>
              <c:yMode val="edge"/>
              <c:x val="0.3946135831381733"/>
              <c:y val="0.91522340054314022"/>
            </c:manualLayout>
          </c:layout>
          <c:overlay val="0"/>
        </c:title>
        <c:numFmt formatCode="0" sourceLinked="1"/>
        <c:majorTickMark val="out"/>
        <c:minorTickMark val="none"/>
        <c:tickLblPos val="nextTo"/>
        <c:spPr>
          <a:ln/>
        </c:spPr>
        <c:txPr>
          <a:bodyPr rot="0"/>
          <a:lstStyle/>
          <a:p>
            <a:pPr lvl="0">
              <a:defRPr sz="1200" b="0" i="0">
                <a:solidFill>
                  <a:srgbClr val="000000"/>
                </a:solidFill>
                <a:latin typeface="Arial"/>
              </a:defRPr>
            </a:pPr>
            <a:endParaRPr lang="en-US"/>
          </a:p>
        </c:txPr>
        <c:crossAx val="1049196081"/>
        <c:crosses val="autoZero"/>
        <c:crossBetween val="midCat"/>
      </c:valAx>
      <c:valAx>
        <c:axId val="1049196081"/>
        <c:scaling>
          <c:orientation val="minMax"/>
        </c:scaling>
        <c:delete val="0"/>
        <c:axPos val="l"/>
        <c:majorGridlines>
          <c:spPr>
            <a:ln>
              <a:solidFill>
                <a:srgbClr val="B7B7B7"/>
              </a:solidFill>
            </a:ln>
          </c:spPr>
        </c:majorGridlines>
        <c:title>
          <c:tx>
            <c:rich>
              <a:bodyPr/>
              <a:lstStyle/>
              <a:p>
                <a:pPr lvl="0">
                  <a:defRPr sz="1200" b="1" i="0">
                    <a:solidFill>
                      <a:srgbClr val="000000"/>
                    </a:solidFill>
                    <a:latin typeface="Arial"/>
                  </a:defRPr>
                </a:pPr>
                <a:r>
                  <a:rPr sz="1200" b="1" i="0">
                    <a:solidFill>
                      <a:srgbClr val="000000"/>
                    </a:solidFill>
                    <a:latin typeface="Arial"/>
                  </a:rPr>
                  <a:t>B Value</a:t>
                </a:r>
              </a:p>
            </c:rich>
          </c:tx>
          <c:layout>
            <c:manualLayout>
              <c:xMode val="edge"/>
              <c:yMode val="edge"/>
              <c:x val="1.873536299765808E-2"/>
              <c:y val="0.43160003843450201"/>
            </c:manualLayout>
          </c:layout>
          <c:overlay val="0"/>
        </c:title>
        <c:numFmt formatCode="General" sourceLinked="1"/>
        <c:majorTickMark val="out"/>
        <c:minorTickMark val="none"/>
        <c:tickLblPos val="nextTo"/>
        <c:spPr>
          <a:ln/>
        </c:spPr>
        <c:txPr>
          <a:bodyPr rot="0"/>
          <a:lstStyle/>
          <a:p>
            <a:pPr lvl="0">
              <a:defRPr sz="1200" b="0" i="0">
                <a:solidFill>
                  <a:srgbClr val="000000"/>
                </a:solidFill>
                <a:latin typeface="Arial"/>
              </a:defRPr>
            </a:pPr>
            <a:endParaRPr lang="en-US"/>
          </a:p>
        </c:txPr>
        <c:crossAx val="2102835988"/>
        <c:crosses val="autoZero"/>
        <c:crossBetween val="midCat"/>
      </c:valAx>
      <c:spPr>
        <a:solidFill>
          <a:srgbClr val="C0C0C0"/>
        </a:solidFill>
      </c:spPr>
    </c:plotArea>
    <c:legend>
      <c:legendPos val="r"/>
      <c:layout>
        <c:manualLayout>
          <c:xMode val="edge"/>
          <c:yMode val="edge"/>
          <c:x val="0.79156908665105385"/>
          <c:y val="0.44701348747591524"/>
        </c:manualLayout>
      </c:layout>
      <c:overlay val="0"/>
      <c:txPr>
        <a:bodyPr/>
        <a:lstStyle/>
        <a:p>
          <a:pPr lvl="0">
            <a:defRPr sz="1000" b="0" i="0">
              <a:solidFill>
                <a:srgbClr val="000000"/>
              </a:solidFill>
              <a:latin typeface="Aria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781050</xdr:colOff>
      <xdr:row>0</xdr:row>
      <xdr:rowOff>19050</xdr:rowOff>
    </xdr:from>
    <xdr:ext cx="2419350" cy="8953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129064</xdr:colOff>
      <xdr:row>0</xdr:row>
      <xdr:rowOff>35719</xdr:rowOff>
    </xdr:from>
    <xdr:to>
      <xdr:col>2</xdr:col>
      <xdr:colOff>317658</xdr:colOff>
      <xdr:row>7</xdr:row>
      <xdr:rowOff>96619</xdr:rowOff>
    </xdr:to>
    <xdr:pic>
      <xdr:nvPicPr>
        <xdr:cNvPr id="5" name="Picture 4">
          <a:extLst>
            <a:ext uri="{FF2B5EF4-FFF2-40B4-BE49-F238E27FC236}">
              <a16:creationId xmlns:a16="http://schemas.microsoft.com/office/drawing/2014/main" id="{C698BB91-736D-87B7-F49F-EE9FB26EF6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064" y="35719"/>
          <a:ext cx="2091689" cy="1223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781050</xdr:colOff>
      <xdr:row>0</xdr:row>
      <xdr:rowOff>19050</xdr:rowOff>
    </xdr:from>
    <xdr:ext cx="2428875" cy="895350"/>
    <xdr:pic>
      <xdr:nvPicPr>
        <xdr:cNvPr id="2" name="image5.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158750</xdr:colOff>
      <xdr:row>0</xdr:row>
      <xdr:rowOff>137583</xdr:rowOff>
    </xdr:from>
    <xdr:to>
      <xdr:col>2</xdr:col>
      <xdr:colOff>687917</xdr:colOff>
      <xdr:row>6</xdr:row>
      <xdr:rowOff>138260</xdr:rowOff>
    </xdr:to>
    <xdr:pic>
      <xdr:nvPicPr>
        <xdr:cNvPr id="5" name="Picture 4">
          <a:extLst>
            <a:ext uri="{FF2B5EF4-FFF2-40B4-BE49-F238E27FC236}">
              <a16:creationId xmlns:a16="http://schemas.microsoft.com/office/drawing/2014/main" id="{8468D012-B7C2-0BE7-F123-BADCBC15B4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750" y="137583"/>
          <a:ext cx="2434167" cy="10166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209550</xdr:colOff>
      <xdr:row>6</xdr:row>
      <xdr:rowOff>142875</xdr:rowOff>
    </xdr:from>
    <xdr:ext cx="7791450" cy="49149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247650</xdr:colOff>
      <xdr:row>36</xdr:row>
      <xdr:rowOff>9525</xdr:rowOff>
    </xdr:from>
    <xdr:ext cx="7753350" cy="4695825"/>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0</xdr:colOff>
      <xdr:row>63</xdr:row>
      <xdr:rowOff>0</xdr:rowOff>
    </xdr:from>
    <xdr:ext cx="7762875" cy="4705350"/>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hyperlink" Target="http://en.wikipedia.org/wiki/Vo2_max" TargetMode="External"/><Relationship Id="rId1" Type="http://schemas.openxmlformats.org/officeDocument/2006/relationships/hyperlink" Target="http://en.wikipedia.org/wiki/File:Exercise_zones.p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67"/>
  <sheetViews>
    <sheetView showGridLines="0" zoomScale="80" zoomScaleNormal="80" workbookViewId="0">
      <selection activeCell="F35" sqref="F35"/>
    </sheetView>
  </sheetViews>
  <sheetFormatPr defaultColWidth="14.44140625" defaultRowHeight="15" customHeight="1"/>
  <cols>
    <col min="1" max="1" width="5.109375" customWidth="1"/>
    <col min="2" max="4" width="22.6640625" customWidth="1"/>
    <col min="5" max="5" width="13.5546875" customWidth="1"/>
    <col min="6" max="6" width="22.6640625" customWidth="1"/>
    <col min="7" max="7" width="19.5546875" customWidth="1"/>
    <col min="8" max="8" width="13.5546875" customWidth="1"/>
    <col min="9" max="9" width="23.5546875" customWidth="1"/>
    <col min="10" max="10" width="10.88671875" hidden="1" customWidth="1"/>
    <col min="11" max="11" width="13.109375" hidden="1" customWidth="1"/>
    <col min="12" max="12" width="20.33203125" customWidth="1"/>
    <col min="13" max="13" width="14.44140625" hidden="1" customWidth="1"/>
    <col min="14" max="14" width="15.6640625" customWidth="1"/>
    <col min="15" max="15" width="13.109375" hidden="1" customWidth="1"/>
    <col min="16" max="16" width="13.88671875" hidden="1" customWidth="1"/>
    <col min="17" max="17" width="19.44140625" customWidth="1"/>
    <col min="18" max="37" width="8.88671875" customWidth="1"/>
  </cols>
  <sheetData>
    <row r="1" spans="1:37" ht="14.25" customHeight="1">
      <c r="A1" s="1"/>
      <c r="B1" s="2"/>
      <c r="C1" s="2"/>
      <c r="D1" s="3"/>
      <c r="E1" s="2"/>
      <c r="F1" s="2"/>
      <c r="G1" s="3"/>
      <c r="H1" s="2"/>
      <c r="I1" s="2"/>
      <c r="J1" s="4"/>
      <c r="K1" s="4"/>
      <c r="L1" s="2"/>
      <c r="M1" s="5"/>
      <c r="N1" s="5"/>
      <c r="O1" s="2"/>
      <c r="P1" s="2"/>
      <c r="Q1" s="2"/>
    </row>
    <row r="2" spans="1:37" ht="14.25" customHeight="1">
      <c r="A2" s="1"/>
      <c r="B2" s="2"/>
      <c r="C2" s="2"/>
      <c r="D2" s="3"/>
      <c r="E2" s="2"/>
      <c r="F2" s="2"/>
      <c r="G2" s="3"/>
      <c r="H2" s="2"/>
      <c r="I2" s="2"/>
      <c r="J2" s="4"/>
      <c r="K2" s="4"/>
      <c r="L2" s="2"/>
      <c r="M2" s="5"/>
      <c r="N2" s="5"/>
      <c r="O2" s="2"/>
      <c r="P2" s="2"/>
      <c r="Q2" s="2"/>
    </row>
    <row r="3" spans="1:37" ht="14.25" customHeight="1">
      <c r="A3" s="1"/>
      <c r="B3" s="2"/>
      <c r="C3" s="2"/>
      <c r="D3" s="3"/>
      <c r="E3" s="2"/>
      <c r="F3" s="2"/>
      <c r="G3" s="3"/>
      <c r="H3" s="2"/>
      <c r="I3" s="2"/>
      <c r="J3" s="4"/>
      <c r="K3" s="4"/>
      <c r="L3" s="2"/>
      <c r="M3" s="5"/>
      <c r="N3" s="5"/>
      <c r="O3" s="2"/>
      <c r="P3" s="2"/>
      <c r="Q3" s="2"/>
    </row>
    <row r="4" spans="1:37" ht="14.25" customHeight="1">
      <c r="A4" s="1"/>
      <c r="B4" s="2"/>
      <c r="C4" s="2"/>
      <c r="D4" s="3"/>
      <c r="E4" s="2"/>
      <c r="F4" s="2"/>
      <c r="G4" s="3"/>
      <c r="H4" s="2"/>
      <c r="I4" s="2"/>
      <c r="J4" s="4"/>
      <c r="K4" s="4"/>
      <c r="L4" s="2"/>
      <c r="M4" s="5"/>
      <c r="N4" s="5"/>
      <c r="O4" s="2"/>
      <c r="P4" s="2"/>
      <c r="Q4" s="2"/>
    </row>
    <row r="5" spans="1:37" ht="14.25" customHeight="1">
      <c r="A5" s="1"/>
      <c r="B5" s="2"/>
      <c r="C5" s="2"/>
      <c r="D5" s="3"/>
      <c r="E5" s="2"/>
      <c r="F5" s="2"/>
      <c r="G5" s="3"/>
      <c r="H5" s="2"/>
      <c r="I5" s="2"/>
      <c r="J5" s="4"/>
      <c r="K5" s="4"/>
      <c r="L5" s="2"/>
      <c r="M5" s="5"/>
      <c r="N5" s="5"/>
      <c r="O5" s="2"/>
      <c r="P5" s="2"/>
      <c r="Q5" s="2"/>
    </row>
    <row r="6" spans="1:37" ht="14.25" customHeight="1">
      <c r="A6" s="294"/>
      <c r="B6" s="295"/>
      <c r="C6" s="295"/>
      <c r="D6" s="296"/>
      <c r="E6" s="295"/>
      <c r="F6" s="295"/>
      <c r="G6" s="296"/>
      <c r="H6" s="295"/>
      <c r="I6" s="295"/>
      <c r="J6" s="297"/>
      <c r="K6" s="297"/>
      <c r="L6" s="295"/>
      <c r="M6" s="298"/>
      <c r="N6" s="298"/>
      <c r="O6" s="295"/>
      <c r="P6" s="295"/>
      <c r="Q6" s="295"/>
    </row>
    <row r="7" spans="1:37" ht="14.25" customHeight="1">
      <c r="A7" s="294"/>
      <c r="B7" s="295"/>
      <c r="C7" s="295"/>
      <c r="D7" s="296"/>
      <c r="E7" s="295"/>
      <c r="F7" s="295"/>
      <c r="G7" s="296"/>
      <c r="H7" s="295"/>
      <c r="I7" s="295"/>
      <c r="J7" s="297"/>
      <c r="K7" s="297"/>
      <c r="L7" s="295"/>
      <c r="M7" s="298"/>
      <c r="N7" s="298"/>
      <c r="O7" s="295"/>
      <c r="P7" s="295"/>
      <c r="Q7" s="295"/>
    </row>
    <row r="8" spans="1:37" ht="14.25" customHeight="1">
      <c r="A8" s="294"/>
      <c r="B8" s="295"/>
      <c r="C8" s="295"/>
      <c r="D8" s="296"/>
      <c r="E8" s="295"/>
      <c r="F8" s="295"/>
      <c r="G8" s="296"/>
      <c r="H8" s="295"/>
      <c r="I8" s="295"/>
      <c r="J8" s="297"/>
      <c r="K8" s="297"/>
      <c r="L8" s="295"/>
      <c r="M8" s="298"/>
      <c r="N8" s="298"/>
      <c r="O8" s="295"/>
      <c r="P8" s="295"/>
      <c r="Q8" s="295"/>
    </row>
    <row r="9" spans="1:37" ht="14.25" customHeight="1">
      <c r="A9" s="6"/>
      <c r="B9" s="7">
        <v>0.14583333333333334</v>
      </c>
      <c r="C9" s="8" t="s">
        <v>0</v>
      </c>
      <c r="D9" s="9"/>
      <c r="E9" s="10"/>
      <c r="F9" s="10"/>
      <c r="G9" s="9"/>
      <c r="H9" s="10"/>
      <c r="I9" s="11"/>
      <c r="J9" s="12"/>
      <c r="K9" s="12"/>
      <c r="L9" s="13"/>
      <c r="M9" s="14"/>
      <c r="N9" s="14"/>
      <c r="O9" s="10"/>
      <c r="P9" s="10"/>
      <c r="Q9" s="10"/>
      <c r="R9" s="15"/>
      <c r="S9" s="15"/>
      <c r="T9" s="15"/>
      <c r="U9" s="15"/>
      <c r="V9" s="15"/>
      <c r="W9" s="15"/>
      <c r="X9" s="16"/>
      <c r="Y9" s="16"/>
      <c r="Z9" s="16"/>
      <c r="AA9" s="16"/>
      <c r="AB9" s="16"/>
      <c r="AC9" s="16"/>
      <c r="AD9" s="16"/>
      <c r="AE9" s="16"/>
      <c r="AF9" s="16"/>
      <c r="AG9" s="16"/>
      <c r="AH9" s="16"/>
      <c r="AI9" s="16"/>
      <c r="AJ9" s="16"/>
      <c r="AK9" s="16"/>
    </row>
    <row r="10" spans="1:37" ht="14.25" customHeight="1">
      <c r="A10" s="6"/>
      <c r="B10" s="17">
        <v>1</v>
      </c>
      <c r="C10" s="8" t="s">
        <v>1</v>
      </c>
      <c r="D10" s="9"/>
      <c r="E10" s="10"/>
      <c r="F10" s="10"/>
      <c r="G10" s="9"/>
      <c r="H10" s="10"/>
      <c r="I10" s="11"/>
      <c r="J10" s="12"/>
      <c r="K10" s="12"/>
      <c r="L10" s="13"/>
      <c r="M10" s="14"/>
      <c r="N10" s="14"/>
      <c r="O10" s="10"/>
      <c r="P10" s="10"/>
      <c r="Q10" s="10"/>
      <c r="R10" s="15"/>
      <c r="S10" s="15"/>
      <c r="T10" s="15"/>
      <c r="U10" s="15"/>
      <c r="V10" s="15"/>
      <c r="W10" s="15"/>
      <c r="X10" s="16"/>
      <c r="Y10" s="16"/>
      <c r="Z10" s="16"/>
      <c r="AA10" s="16"/>
      <c r="AB10" s="16"/>
      <c r="AC10" s="16"/>
      <c r="AD10" s="16"/>
      <c r="AE10" s="16"/>
      <c r="AF10" s="16"/>
      <c r="AG10" s="16"/>
      <c r="AH10" s="16"/>
      <c r="AI10" s="16"/>
      <c r="AJ10" s="16"/>
      <c r="AK10" s="16"/>
    </row>
    <row r="11" spans="1:37" ht="14.25" customHeight="1">
      <c r="A11" s="6"/>
      <c r="B11" s="18">
        <v>45235</v>
      </c>
      <c r="C11" s="8" t="s">
        <v>2</v>
      </c>
      <c r="D11" s="9"/>
      <c r="E11" s="10"/>
      <c r="F11" s="10"/>
      <c r="G11" s="9"/>
      <c r="H11" s="10"/>
      <c r="I11" s="11"/>
      <c r="J11" s="12"/>
      <c r="K11" s="12"/>
      <c r="L11" s="13"/>
      <c r="M11" s="14"/>
      <c r="N11" s="14"/>
      <c r="O11" s="10"/>
      <c r="P11" s="10"/>
      <c r="Q11" s="10"/>
      <c r="R11" s="15"/>
      <c r="S11" s="15"/>
      <c r="T11" s="15"/>
      <c r="U11" s="15"/>
      <c r="V11" s="15"/>
      <c r="W11" s="15"/>
      <c r="X11" s="16"/>
      <c r="Y11" s="16"/>
      <c r="Z11" s="16"/>
      <c r="AA11" s="16"/>
      <c r="AB11" s="16"/>
      <c r="AC11" s="16"/>
      <c r="AD11" s="16"/>
      <c r="AE11" s="16"/>
      <c r="AF11" s="16"/>
      <c r="AG11" s="16"/>
      <c r="AH11" s="16"/>
      <c r="AI11" s="16"/>
      <c r="AJ11" s="16"/>
      <c r="AK11" s="16"/>
    </row>
    <row r="12" spans="1:37" ht="14.25" customHeight="1">
      <c r="A12" s="6"/>
      <c r="B12" s="19">
        <f>LOOKUP("T-LF",'Pace Chart'!$E$24:$F$38)</f>
        <v>6.5393518518518517E-3</v>
      </c>
      <c r="C12" s="20" t="s">
        <v>3</v>
      </c>
      <c r="D12" s="9"/>
      <c r="E12" s="10"/>
      <c r="F12" s="10"/>
      <c r="G12" s="9"/>
      <c r="H12" s="10"/>
      <c r="I12" s="10"/>
      <c r="J12" s="12"/>
      <c r="K12" s="12"/>
      <c r="L12" s="10"/>
      <c r="M12" s="21"/>
      <c r="N12" s="21"/>
      <c r="O12" s="10"/>
      <c r="P12" s="10"/>
      <c r="Q12" s="10"/>
      <c r="R12" s="15"/>
      <c r="S12" s="15"/>
      <c r="T12" s="15"/>
      <c r="U12" s="15"/>
      <c r="V12" s="15"/>
      <c r="W12" s="15"/>
      <c r="X12" s="15"/>
      <c r="Y12" s="15"/>
      <c r="Z12" s="15"/>
      <c r="AA12" s="15"/>
      <c r="AB12" s="15"/>
      <c r="AC12" s="15"/>
      <c r="AD12" s="15"/>
      <c r="AE12" s="15"/>
      <c r="AF12" s="15"/>
      <c r="AG12" s="15"/>
      <c r="AH12" s="15"/>
      <c r="AI12" s="15"/>
      <c r="AJ12" s="15"/>
      <c r="AK12" s="15"/>
    </row>
    <row r="13" spans="1:37" ht="14.25" customHeight="1">
      <c r="A13" s="22"/>
      <c r="B13" s="23"/>
      <c r="C13" s="23"/>
      <c r="D13" s="24"/>
      <c r="E13" s="23"/>
      <c r="F13" s="23"/>
      <c r="G13" s="24"/>
      <c r="H13" s="23"/>
      <c r="I13" s="23"/>
      <c r="J13" s="25"/>
      <c r="K13" s="25"/>
      <c r="L13" s="23"/>
      <c r="M13" s="26"/>
      <c r="N13" s="26"/>
      <c r="O13" s="23"/>
      <c r="P13" s="23"/>
      <c r="Q13" s="23"/>
    </row>
    <row r="14" spans="1:37" ht="14.25" customHeight="1">
      <c r="A14" s="27" t="s">
        <v>4</v>
      </c>
      <c r="B14" s="28" t="s">
        <v>5</v>
      </c>
      <c r="C14" s="29" t="s">
        <v>6</v>
      </c>
      <c r="D14" s="244" t="s">
        <v>7</v>
      </c>
      <c r="E14" s="245"/>
      <c r="F14" s="29" t="s">
        <v>8</v>
      </c>
      <c r="G14" s="244" t="s">
        <v>9</v>
      </c>
      <c r="H14" s="245"/>
      <c r="I14" s="30" t="s">
        <v>10</v>
      </c>
      <c r="J14" s="31" t="s">
        <v>11</v>
      </c>
      <c r="K14" s="31" t="s">
        <v>12</v>
      </c>
      <c r="L14" s="244" t="s">
        <v>13</v>
      </c>
      <c r="M14" s="255"/>
      <c r="N14" s="256"/>
      <c r="O14" s="32" t="s">
        <v>14</v>
      </c>
      <c r="P14" s="32" t="s">
        <v>15</v>
      </c>
      <c r="Q14" s="32" t="s">
        <v>16</v>
      </c>
    </row>
    <row r="15" spans="1:37" ht="14.25" customHeight="1">
      <c r="A15" s="230">
        <v>1</v>
      </c>
      <c r="B15" s="33">
        <f t="shared" ref="B15:C15" si="0">C15-1</f>
        <v>45117</v>
      </c>
      <c r="C15" s="34">
        <f t="shared" si="0"/>
        <v>45118</v>
      </c>
      <c r="D15" s="237">
        <f>F15-1</f>
        <v>45119</v>
      </c>
      <c r="E15" s="238"/>
      <c r="F15" s="34">
        <f>G15-1</f>
        <v>45120</v>
      </c>
      <c r="G15" s="237">
        <f>I15-1</f>
        <v>45121</v>
      </c>
      <c r="H15" s="238"/>
      <c r="I15" s="34">
        <f>L15-1</f>
        <v>45122</v>
      </c>
      <c r="J15" s="35"/>
      <c r="K15" s="35"/>
      <c r="L15" s="237">
        <f>B22-1</f>
        <v>45123</v>
      </c>
      <c r="M15" s="252"/>
      <c r="N15" s="253"/>
      <c r="O15" s="36">
        <f>J16/0.33</f>
        <v>27.27272727272727</v>
      </c>
      <c r="P15" s="36">
        <f>K16/0.3</f>
        <v>46.666666666666671</v>
      </c>
      <c r="Q15" s="259">
        <f>(O15-P15)*(-$B$10)+O15</f>
        <v>46.666666666666671</v>
      </c>
    </row>
    <row r="16" spans="1:37" ht="15" customHeight="1">
      <c r="A16" s="231"/>
      <c r="B16" s="37" t="s">
        <v>17</v>
      </c>
      <c r="C16" s="37" t="s">
        <v>17</v>
      </c>
      <c r="D16" s="241" t="s">
        <v>29</v>
      </c>
      <c r="E16" s="242"/>
      <c r="F16" s="37" t="s">
        <v>17</v>
      </c>
      <c r="G16" s="243" t="s">
        <v>19</v>
      </c>
      <c r="H16" s="236"/>
      <c r="I16" s="37" t="s">
        <v>17</v>
      </c>
      <c r="J16" s="38">
        <v>9</v>
      </c>
      <c r="K16" s="39">
        <v>14</v>
      </c>
      <c r="L16" s="265" t="s">
        <v>20</v>
      </c>
      <c r="M16" s="247"/>
      <c r="N16" s="248"/>
      <c r="O16" s="40"/>
      <c r="P16" s="40"/>
      <c r="Q16" s="231"/>
    </row>
    <row r="17" spans="1:17" ht="15" customHeight="1">
      <c r="A17" s="231"/>
      <c r="B17" s="41">
        <f>LOOKUP("T-Lf",'Pace Chart'!$E$24:$F$38)</f>
        <v>6.5393518518518517E-3</v>
      </c>
      <c r="C17" s="41">
        <f>LOOKUP("T-Lf",'Pace Chart'!$E$24:$F$38)</f>
        <v>6.5393518518518517E-3</v>
      </c>
      <c r="D17" s="42" t="s">
        <v>30</v>
      </c>
      <c r="E17" s="43">
        <f>LOOKUP("R-5M",'Pace Chart'!$E$24:$F$38)</f>
        <v>5.0347222222222225E-3</v>
      </c>
      <c r="F17" s="41">
        <f>LOOKUP("T-Lf",'Pace Chart'!$E$24:$F$38)</f>
        <v>6.5393518518518517E-3</v>
      </c>
      <c r="G17" s="42" t="s">
        <v>21</v>
      </c>
      <c r="H17" s="43" t="s">
        <v>22</v>
      </c>
      <c r="I17" s="41">
        <f>LOOKUP("T-Lf",'Pace Chart'!$E$24:$F$38)</f>
        <v>6.5393518518518517E-3</v>
      </c>
      <c r="J17" s="44"/>
      <c r="K17" s="45"/>
      <c r="L17" s="46">
        <f>J16+(K16-J16)*Distance_Pct</f>
        <v>14</v>
      </c>
      <c r="M17" s="47"/>
      <c r="N17" s="48">
        <f>LOOKUP("T-LSD",'Pace Chart'!$E$24:$F$38)</f>
        <v>6.782407407407408E-3</v>
      </c>
      <c r="O17" s="40"/>
      <c r="P17" s="40"/>
      <c r="Q17" s="231"/>
    </row>
    <row r="18" spans="1:17" ht="15" customHeight="1">
      <c r="A18" s="231"/>
      <c r="B18" s="49" t="s">
        <v>23</v>
      </c>
      <c r="C18" s="49"/>
      <c r="D18" s="42" t="s">
        <v>24</v>
      </c>
      <c r="E18" s="43" t="s">
        <v>22</v>
      </c>
      <c r="F18" s="49"/>
      <c r="G18" s="42" t="s">
        <v>185</v>
      </c>
      <c r="H18" s="43" t="s">
        <v>26</v>
      </c>
      <c r="I18" s="49" t="s">
        <v>23</v>
      </c>
      <c r="J18" s="50"/>
      <c r="K18" s="51"/>
      <c r="L18" s="52"/>
      <c r="M18" s="47"/>
      <c r="N18" s="48"/>
      <c r="O18" s="40"/>
      <c r="P18" s="40"/>
      <c r="Q18" s="231"/>
    </row>
    <row r="19" spans="1:17" ht="15" customHeight="1">
      <c r="A19" s="231"/>
      <c r="B19" s="53" t="s">
        <v>27</v>
      </c>
      <c r="C19" s="49"/>
      <c r="D19" s="42"/>
      <c r="E19" s="43"/>
      <c r="F19" s="49"/>
      <c r="G19" s="42" t="s">
        <v>186</v>
      </c>
      <c r="H19" s="43" t="s">
        <v>22</v>
      </c>
      <c r="I19" s="49"/>
      <c r="J19" s="50"/>
      <c r="K19" s="51"/>
      <c r="L19" s="52"/>
      <c r="M19" s="47"/>
      <c r="N19" s="48"/>
      <c r="O19" s="40"/>
      <c r="P19" s="40"/>
      <c r="Q19" s="231"/>
    </row>
    <row r="20" spans="1:17" ht="15" customHeight="1">
      <c r="A20" s="231"/>
      <c r="B20" s="53"/>
      <c r="C20" s="49"/>
      <c r="D20" s="42"/>
      <c r="E20" s="43"/>
      <c r="F20" s="49"/>
      <c r="G20" s="42" t="s">
        <v>28</v>
      </c>
      <c r="H20" s="43" t="s">
        <v>22</v>
      </c>
      <c r="I20" s="49"/>
      <c r="J20" s="50"/>
      <c r="K20" s="51"/>
      <c r="L20" s="52"/>
      <c r="M20" s="47"/>
      <c r="N20" s="48"/>
      <c r="O20" s="40"/>
      <c r="P20" s="40"/>
      <c r="Q20" s="231"/>
    </row>
    <row r="21" spans="1:17" ht="15.75" customHeight="1">
      <c r="A21" s="232"/>
      <c r="B21" s="54"/>
      <c r="C21" s="55"/>
      <c r="D21" s="56"/>
      <c r="E21" s="57"/>
      <c r="F21" s="55"/>
      <c r="G21" s="56"/>
      <c r="H21" s="58"/>
      <c r="I21" s="55"/>
      <c r="J21" s="59"/>
      <c r="K21" s="60"/>
      <c r="L21" s="61"/>
      <c r="M21" s="62"/>
      <c r="N21" s="63"/>
      <c r="O21" s="64"/>
      <c r="P21" s="64"/>
      <c r="Q21" s="232"/>
    </row>
    <row r="22" spans="1:17" ht="15.75" customHeight="1">
      <c r="A22" s="230">
        <f>A15+1</f>
        <v>2</v>
      </c>
      <c r="B22" s="65">
        <f t="shared" ref="B22:C22" si="1">C22-1</f>
        <v>45124</v>
      </c>
      <c r="C22" s="66">
        <f t="shared" si="1"/>
        <v>45125</v>
      </c>
      <c r="D22" s="233">
        <f>F22-1</f>
        <v>45126</v>
      </c>
      <c r="E22" s="234"/>
      <c r="F22" s="66">
        <f>G22-1</f>
        <v>45127</v>
      </c>
      <c r="G22" s="233">
        <f>I22-1</f>
        <v>45128</v>
      </c>
      <c r="H22" s="234"/>
      <c r="I22" s="66">
        <f>L22-1</f>
        <v>45129</v>
      </c>
      <c r="J22" s="67" t="s">
        <v>11</v>
      </c>
      <c r="K22" s="68" t="s">
        <v>12</v>
      </c>
      <c r="L22" s="233">
        <f>B29-1</f>
        <v>45130</v>
      </c>
      <c r="M22" s="250"/>
      <c r="N22" s="251"/>
      <c r="O22" s="69">
        <f>J23/0.33</f>
        <v>30</v>
      </c>
      <c r="P22" s="69">
        <f>K23/0.3</f>
        <v>51.333333333333343</v>
      </c>
      <c r="Q22" s="260">
        <f>(O22-P22)*(-$B$10)+O22</f>
        <v>51.333333333333343</v>
      </c>
    </row>
    <row r="23" spans="1:17" ht="15" customHeight="1">
      <c r="A23" s="231"/>
      <c r="B23" s="70" t="s">
        <v>17</v>
      </c>
      <c r="C23" s="71" t="s">
        <v>17</v>
      </c>
      <c r="D23" s="303" t="s">
        <v>68</v>
      </c>
      <c r="E23" s="304"/>
      <c r="F23" s="71" t="s">
        <v>17</v>
      </c>
      <c r="G23" s="270" t="s">
        <v>19</v>
      </c>
      <c r="H23" s="236"/>
      <c r="I23" s="71" t="s">
        <v>17</v>
      </c>
      <c r="J23" s="72">
        <f>IF((MAX(J$16:J16)*1.1)&lt;=18, (MAX(J$16:J16)*1.1),18)</f>
        <v>9.9</v>
      </c>
      <c r="K23" s="72">
        <f>IF((MAX(K$16:K16)*1.1)&lt;=22, (MAX(K$16:K16)*1.1),22)</f>
        <v>15.400000000000002</v>
      </c>
      <c r="L23" s="254" t="s">
        <v>20</v>
      </c>
      <c r="M23" s="247"/>
      <c r="N23" s="248"/>
      <c r="O23" s="73"/>
      <c r="P23" s="73"/>
      <c r="Q23" s="231"/>
    </row>
    <row r="24" spans="1:17" ht="15" customHeight="1">
      <c r="A24" s="231"/>
      <c r="B24" s="74">
        <f>LOOKUP("T-Lf",'Pace Chart'!$E$24:$F$38)</f>
        <v>6.5393518518518517E-3</v>
      </c>
      <c r="C24" s="74">
        <f>LOOKUP("T-Lf",'Pace Chart'!$E$24:$F$38)</f>
        <v>6.5393518518518517E-3</v>
      </c>
      <c r="D24" s="75" t="s">
        <v>57</v>
      </c>
      <c r="E24" s="226">
        <f>LOOKUP("R-5M",'Pace Chart'!$E$24:$F$38)</f>
        <v>5.0347222222222225E-3</v>
      </c>
      <c r="F24" s="224">
        <f>LOOKUP("T-Lf",'Pace Chart'!$E$24:$F$38)</f>
        <v>6.5393518518518517E-3</v>
      </c>
      <c r="G24" s="77" t="s">
        <v>21</v>
      </c>
      <c r="H24" s="78" t="s">
        <v>22</v>
      </c>
      <c r="I24" s="74">
        <f>LOOKUP("T-Lf",'Pace Chart'!$E$24:$F$38)</f>
        <v>6.5393518518518517E-3</v>
      </c>
      <c r="J24" s="79"/>
      <c r="K24" s="25"/>
      <c r="L24" s="80">
        <f>J23+(K23-J23)*Distance_Pct</f>
        <v>15.400000000000002</v>
      </c>
      <c r="M24" s="81"/>
      <c r="N24" s="82">
        <f>LOOKUP("T-LS",'Pace Chart'!$E$24:$F$38)</f>
        <v>6.782407407407408E-3</v>
      </c>
      <c r="O24" s="73"/>
      <c r="P24" s="73"/>
      <c r="Q24" s="231"/>
    </row>
    <row r="25" spans="1:17" ht="15" customHeight="1">
      <c r="A25" s="231"/>
      <c r="B25" s="83" t="s">
        <v>23</v>
      </c>
      <c r="C25" s="84"/>
      <c r="D25" s="75" t="s">
        <v>24</v>
      </c>
      <c r="E25" s="227" t="s">
        <v>22</v>
      </c>
      <c r="F25" s="225"/>
      <c r="G25" s="210" t="s">
        <v>31</v>
      </c>
      <c r="H25" s="78" t="s">
        <v>26</v>
      </c>
      <c r="I25" s="84" t="s">
        <v>23</v>
      </c>
      <c r="J25" s="85"/>
      <c r="K25" s="86"/>
      <c r="L25" s="87"/>
      <c r="M25" s="81"/>
      <c r="N25" s="82"/>
      <c r="O25" s="73"/>
      <c r="P25" s="73"/>
      <c r="Q25" s="231"/>
    </row>
    <row r="26" spans="1:17" ht="15" customHeight="1">
      <c r="A26" s="231"/>
      <c r="B26" s="88" t="s">
        <v>27</v>
      </c>
      <c r="C26" s="84"/>
      <c r="D26" s="77"/>
      <c r="E26" s="78"/>
      <c r="F26" s="84"/>
      <c r="G26" s="77" t="s">
        <v>28</v>
      </c>
      <c r="H26" s="78" t="s">
        <v>22</v>
      </c>
      <c r="I26" s="84"/>
      <c r="J26" s="85"/>
      <c r="K26" s="86"/>
      <c r="L26" s="87"/>
      <c r="M26" s="81"/>
      <c r="N26" s="82"/>
      <c r="O26" s="73"/>
      <c r="P26" s="73"/>
      <c r="Q26" s="231"/>
    </row>
    <row r="27" spans="1:17" ht="15" customHeight="1">
      <c r="A27" s="231"/>
      <c r="B27" s="89"/>
      <c r="C27" s="84"/>
      <c r="D27" s="77"/>
      <c r="E27" s="78"/>
      <c r="F27" s="84"/>
      <c r="G27" s="77"/>
      <c r="H27" s="78"/>
      <c r="I27" s="84"/>
      <c r="J27" s="85"/>
      <c r="K27" s="86"/>
      <c r="L27" s="87"/>
      <c r="M27" s="81"/>
      <c r="N27" s="82"/>
      <c r="O27" s="73"/>
      <c r="P27" s="73"/>
      <c r="Q27" s="231"/>
    </row>
    <row r="28" spans="1:17" ht="14.25" customHeight="1">
      <c r="A28" s="232"/>
      <c r="B28" s="90"/>
      <c r="C28" s="91"/>
      <c r="D28" s="92"/>
      <c r="E28" s="93"/>
      <c r="F28" s="94"/>
      <c r="G28" s="92"/>
      <c r="H28" s="93"/>
      <c r="I28" s="94"/>
      <c r="J28" s="95"/>
      <c r="K28" s="96"/>
      <c r="L28" s="97"/>
      <c r="M28" s="98"/>
      <c r="N28" s="99"/>
      <c r="O28" s="100"/>
      <c r="P28" s="100"/>
      <c r="Q28" s="232"/>
    </row>
    <row r="29" spans="1:17" ht="14.25" customHeight="1">
      <c r="A29" s="230">
        <f>A22+1</f>
        <v>3</v>
      </c>
      <c r="B29" s="33">
        <f t="shared" ref="B29:C29" si="2">C29-1</f>
        <v>45131</v>
      </c>
      <c r="C29" s="34">
        <f t="shared" si="2"/>
        <v>45132</v>
      </c>
      <c r="D29" s="237">
        <f>F29-1</f>
        <v>45133</v>
      </c>
      <c r="E29" s="238"/>
      <c r="F29" s="34">
        <f>G29-1</f>
        <v>45134</v>
      </c>
      <c r="G29" s="237">
        <f>I29-1</f>
        <v>45135</v>
      </c>
      <c r="H29" s="238"/>
      <c r="I29" s="34">
        <f>L29-1</f>
        <v>45136</v>
      </c>
      <c r="J29" s="101" t="s">
        <v>11</v>
      </c>
      <c r="K29" s="102" t="s">
        <v>12</v>
      </c>
      <c r="L29" s="237">
        <f>B36-1</f>
        <v>45137</v>
      </c>
      <c r="M29" s="252"/>
      <c r="N29" s="253"/>
      <c r="O29" s="259">
        <f>J30/0.33</f>
        <v>24.242424242424242</v>
      </c>
      <c r="P29" s="259">
        <f>K30/0.3</f>
        <v>40</v>
      </c>
      <c r="Q29" s="259">
        <f>(O29-P29)*(-$B$10)+O29</f>
        <v>40</v>
      </c>
    </row>
    <row r="30" spans="1:17" ht="15" customHeight="1">
      <c r="A30" s="231"/>
      <c r="B30" s="37" t="s">
        <v>17</v>
      </c>
      <c r="C30" s="37" t="s">
        <v>17</v>
      </c>
      <c r="D30" s="243" t="s">
        <v>32</v>
      </c>
      <c r="E30" s="236"/>
      <c r="F30" s="37" t="s">
        <v>17</v>
      </c>
      <c r="G30" s="257" t="s">
        <v>33</v>
      </c>
      <c r="H30" s="258"/>
      <c r="I30" s="41" t="s">
        <v>17</v>
      </c>
      <c r="J30" s="38">
        <v>8</v>
      </c>
      <c r="K30" s="39">
        <v>12</v>
      </c>
      <c r="L30" s="266" t="s">
        <v>172</v>
      </c>
      <c r="M30" s="267"/>
      <c r="N30" s="268"/>
      <c r="O30" s="231"/>
      <c r="P30" s="231"/>
      <c r="Q30" s="231"/>
    </row>
    <row r="31" spans="1:17" ht="15" customHeight="1">
      <c r="A31" s="231"/>
      <c r="B31" s="41">
        <f>LOOKUP("T-Lf",'Pace Chart'!$E$24:$F$38)</f>
        <v>6.5393518518518517E-3</v>
      </c>
      <c r="C31" s="41">
        <f>LOOKUP("T-Lf",'Pace Chart'!$E$24:$F$38)</f>
        <v>6.5393518518518517E-3</v>
      </c>
      <c r="D31" s="42" t="s">
        <v>35</v>
      </c>
      <c r="E31" s="103">
        <f>LOOKUP("R-5M",'Pace Chart'!$E$24:$F$38)</f>
        <v>5.0347222222222225E-3</v>
      </c>
      <c r="F31" s="41">
        <f>LOOKUP("T-Lf",'Pace Chart'!$E$24:$F$38)</f>
        <v>6.5393518518518517E-3</v>
      </c>
      <c r="G31" s="42"/>
      <c r="H31" s="228"/>
      <c r="I31" s="41">
        <v>5.3009259259259251E-3</v>
      </c>
      <c r="J31" s="44"/>
      <c r="K31" s="45"/>
      <c r="L31" s="280">
        <f>LOOKUP("R-5M",'Pace Chart'!$E$24:$F$38)</f>
        <v>5.0347222222222225E-3</v>
      </c>
      <c r="M31" s="281"/>
      <c r="N31" s="282"/>
      <c r="O31" s="231"/>
      <c r="P31" s="231"/>
      <c r="Q31" s="231"/>
    </row>
    <row r="32" spans="1:17" ht="15" customHeight="1">
      <c r="A32" s="231"/>
      <c r="B32" s="49" t="s">
        <v>23</v>
      </c>
      <c r="C32" s="49"/>
      <c r="D32" s="42" t="s">
        <v>24</v>
      </c>
      <c r="E32" s="43" t="s">
        <v>22</v>
      </c>
      <c r="F32" s="49"/>
      <c r="G32" s="42"/>
      <c r="H32" s="43"/>
      <c r="I32" s="49" t="s">
        <v>23</v>
      </c>
      <c r="J32" s="50"/>
      <c r="K32" s="51"/>
      <c r="L32" s="52"/>
      <c r="M32" s="47"/>
      <c r="N32" s="48"/>
      <c r="O32" s="231"/>
      <c r="P32" s="231"/>
      <c r="Q32" s="231"/>
    </row>
    <row r="33" spans="1:17" ht="15.75" customHeight="1">
      <c r="A33" s="231"/>
      <c r="B33" s="53" t="s">
        <v>27</v>
      </c>
      <c r="C33" s="49"/>
      <c r="D33" s="42"/>
      <c r="E33" s="43"/>
      <c r="F33" s="49"/>
      <c r="G33" s="42"/>
      <c r="H33" s="104"/>
      <c r="I33" s="49"/>
      <c r="J33" s="50"/>
      <c r="K33" s="51"/>
      <c r="L33" s="52"/>
      <c r="M33" s="47"/>
      <c r="N33" s="48"/>
      <c r="O33" s="231"/>
      <c r="P33" s="231"/>
      <c r="Q33" s="231"/>
    </row>
    <row r="34" spans="1:17" ht="15.75" customHeight="1">
      <c r="A34" s="231"/>
      <c r="B34" s="53"/>
      <c r="C34" s="49"/>
      <c r="D34" s="42"/>
      <c r="E34" s="43"/>
      <c r="F34" s="49"/>
      <c r="G34" s="42"/>
      <c r="H34" s="43"/>
      <c r="I34" s="49"/>
      <c r="J34" s="50"/>
      <c r="K34" s="51"/>
      <c r="L34" s="52"/>
      <c r="M34" s="47"/>
      <c r="N34" s="48"/>
      <c r="O34" s="231"/>
      <c r="P34" s="231"/>
      <c r="Q34" s="231"/>
    </row>
    <row r="35" spans="1:17" ht="15.75" customHeight="1">
      <c r="A35" s="232"/>
      <c r="B35" s="54"/>
      <c r="C35" s="55"/>
      <c r="D35" s="56"/>
      <c r="E35" s="57"/>
      <c r="F35" s="55"/>
      <c r="G35" s="56"/>
      <c r="H35" s="58"/>
      <c r="I35" s="55"/>
      <c r="J35" s="59"/>
      <c r="K35" s="60"/>
      <c r="L35" s="61"/>
      <c r="M35" s="62"/>
      <c r="N35" s="63"/>
      <c r="O35" s="232"/>
      <c r="P35" s="232"/>
      <c r="Q35" s="232"/>
    </row>
    <row r="36" spans="1:17" ht="15.75" customHeight="1">
      <c r="A36" s="230">
        <f>A29+1</f>
        <v>4</v>
      </c>
      <c r="B36" s="65">
        <f t="shared" ref="B36:C36" si="3">C36-1</f>
        <v>45138</v>
      </c>
      <c r="C36" s="66">
        <f t="shared" si="3"/>
        <v>45139</v>
      </c>
      <c r="D36" s="233">
        <f>F36-1</f>
        <v>45140</v>
      </c>
      <c r="E36" s="234"/>
      <c r="F36" s="66">
        <f>G36-1</f>
        <v>45141</v>
      </c>
      <c r="G36" s="233">
        <f>I36-1</f>
        <v>45142</v>
      </c>
      <c r="H36" s="234"/>
      <c r="I36" s="229">
        <f>L36-1</f>
        <v>45143</v>
      </c>
      <c r="J36" s="67" t="s">
        <v>11</v>
      </c>
      <c r="K36" s="68" t="s">
        <v>12</v>
      </c>
      <c r="L36" s="233">
        <f>B43-1</f>
        <v>45144</v>
      </c>
      <c r="M36" s="250"/>
      <c r="N36" s="251"/>
      <c r="O36" s="260">
        <f>J37/0.33</f>
        <v>33</v>
      </c>
      <c r="P36" s="260">
        <f>K37/0.3</f>
        <v>56.466666666666683</v>
      </c>
      <c r="Q36" s="260">
        <f>(O36-P36)*(-$B$10)+O36</f>
        <v>56.466666666666683</v>
      </c>
    </row>
    <row r="37" spans="1:17" ht="15" customHeight="1">
      <c r="A37" s="231"/>
      <c r="B37" s="70" t="s">
        <v>17</v>
      </c>
      <c r="C37" s="71" t="s">
        <v>17</v>
      </c>
      <c r="D37" s="235" t="s">
        <v>33</v>
      </c>
      <c r="E37" s="236"/>
      <c r="F37" s="71" t="s">
        <v>17</v>
      </c>
      <c r="G37" s="77" t="s">
        <v>21</v>
      </c>
      <c r="H37" s="78" t="s">
        <v>22</v>
      </c>
      <c r="I37" s="74" t="s">
        <v>17</v>
      </c>
      <c r="J37" s="72">
        <f>IF((MAX(J$16:J30)*1.1)&lt;=18, (MAX(J$16:J30)*1.1),18)</f>
        <v>10.89</v>
      </c>
      <c r="K37" s="72">
        <f>IF((MAX(K$16:K30)*1.1)&lt;=22, (MAX(K$16:K30)*1.1),22)</f>
        <v>16.940000000000005</v>
      </c>
      <c r="L37" s="254" t="s">
        <v>34</v>
      </c>
      <c r="M37" s="247"/>
      <c r="N37" s="248"/>
      <c r="O37" s="231"/>
      <c r="P37" s="231"/>
      <c r="Q37" s="231"/>
    </row>
    <row r="38" spans="1:17" ht="15" customHeight="1">
      <c r="A38" s="231"/>
      <c r="B38" s="74">
        <f>LOOKUP("T-Lf",'Pace Chart'!$E$24:$F$38)</f>
        <v>6.5393518518518517E-3</v>
      </c>
      <c r="C38" s="74">
        <f>LOOKUP("T-Lf",'Pace Chart'!$E$24:$F$38)</f>
        <v>6.5393518518518517E-3</v>
      </c>
      <c r="D38" s="283"/>
      <c r="E38" s="284"/>
      <c r="F38" s="74">
        <f>LOOKUP("T-Lf",'Pace Chart'!$E$24:$F$38)</f>
        <v>6.5393518518518517E-3</v>
      </c>
      <c r="G38" s="210" t="s">
        <v>178</v>
      </c>
      <c r="H38" s="78" t="s">
        <v>26</v>
      </c>
      <c r="I38" s="74">
        <v>5.3009259259259251E-3</v>
      </c>
      <c r="J38" s="79"/>
      <c r="K38" s="25"/>
      <c r="L38" s="80">
        <f>J37+(K37-J37)*Distance_Pct-5</f>
        <v>11.940000000000005</v>
      </c>
      <c r="M38" s="81"/>
      <c r="N38" s="82">
        <f>LOOKUP("T-LS",'Pace Chart'!$E$24:$F$38)</f>
        <v>6.782407407407408E-3</v>
      </c>
      <c r="O38" s="231"/>
      <c r="P38" s="231"/>
      <c r="Q38" s="231"/>
    </row>
    <row r="39" spans="1:17" ht="15" customHeight="1">
      <c r="A39" s="231"/>
      <c r="B39" s="83" t="s">
        <v>23</v>
      </c>
      <c r="C39" s="84"/>
      <c r="D39" s="105"/>
      <c r="E39" s="107"/>
      <c r="F39" s="84"/>
      <c r="G39" s="77" t="s">
        <v>28</v>
      </c>
      <c r="H39" s="78" t="s">
        <v>22</v>
      </c>
      <c r="I39" s="74" t="s">
        <v>23</v>
      </c>
      <c r="J39" s="85"/>
      <c r="K39" s="86"/>
      <c r="L39" s="87" t="s">
        <v>36</v>
      </c>
      <c r="M39" s="81"/>
      <c r="N39" s="82">
        <f>LOOKUP("R-Mar",'Pace Chart'!$E$24:$F$38)</f>
        <v>5.5555555555555558E-3</v>
      </c>
      <c r="O39" s="231"/>
      <c r="P39" s="231"/>
      <c r="Q39" s="231"/>
    </row>
    <row r="40" spans="1:17" ht="15" customHeight="1">
      <c r="A40" s="231"/>
      <c r="B40" s="88" t="s">
        <v>27</v>
      </c>
      <c r="C40" s="84"/>
      <c r="D40" s="105"/>
      <c r="E40" s="106"/>
      <c r="F40" s="84"/>
      <c r="G40" s="105"/>
      <c r="H40" s="108"/>
      <c r="I40" s="84"/>
      <c r="J40" s="85"/>
      <c r="K40" s="86"/>
      <c r="L40" s="87" t="s">
        <v>37</v>
      </c>
      <c r="M40" s="81"/>
      <c r="N40" s="82" t="s">
        <v>22</v>
      </c>
      <c r="O40" s="231"/>
      <c r="P40" s="231"/>
      <c r="Q40" s="231"/>
    </row>
    <row r="41" spans="1:17" ht="15" customHeight="1">
      <c r="A41" s="231"/>
      <c r="B41" s="89"/>
      <c r="C41" s="84"/>
      <c r="D41" s="77"/>
      <c r="E41" s="78"/>
      <c r="F41" s="84"/>
      <c r="G41" s="105"/>
      <c r="H41" s="108"/>
      <c r="I41" s="84"/>
      <c r="J41" s="85"/>
      <c r="K41" s="86"/>
      <c r="L41" s="87"/>
      <c r="M41" s="81"/>
      <c r="N41" s="82"/>
      <c r="O41" s="231"/>
      <c r="P41" s="231"/>
      <c r="Q41" s="231"/>
    </row>
    <row r="42" spans="1:17" ht="14.25" customHeight="1">
      <c r="A42" s="232"/>
      <c r="B42" s="90"/>
      <c r="C42" s="91"/>
      <c r="D42" s="92"/>
      <c r="E42" s="93"/>
      <c r="F42" s="94"/>
      <c r="G42" s="92"/>
      <c r="H42" s="109"/>
      <c r="I42" s="94"/>
      <c r="J42" s="95"/>
      <c r="K42" s="96"/>
      <c r="L42" s="97"/>
      <c r="M42" s="98"/>
      <c r="N42" s="99"/>
      <c r="O42" s="232"/>
      <c r="P42" s="232"/>
      <c r="Q42" s="232"/>
    </row>
    <row r="43" spans="1:17" ht="14.25" customHeight="1">
      <c r="A43" s="230">
        <f>A36+1</f>
        <v>5</v>
      </c>
      <c r="B43" s="33">
        <f t="shared" ref="B43:C43" si="4">C43-1</f>
        <v>45145</v>
      </c>
      <c r="C43" s="110">
        <f t="shared" si="4"/>
        <v>45146</v>
      </c>
      <c r="D43" s="237">
        <f>F43-1</f>
        <v>45147</v>
      </c>
      <c r="E43" s="238"/>
      <c r="F43" s="110">
        <f>G43-1</f>
        <v>45148</v>
      </c>
      <c r="G43" s="237">
        <f>I43-1</f>
        <v>45149</v>
      </c>
      <c r="H43" s="238"/>
      <c r="I43" s="34">
        <f>L43-1</f>
        <v>45150</v>
      </c>
      <c r="J43" s="101" t="s">
        <v>11</v>
      </c>
      <c r="K43" s="102" t="s">
        <v>12</v>
      </c>
      <c r="L43" s="264">
        <f>B50-1</f>
        <v>45151</v>
      </c>
      <c r="M43" s="250"/>
      <c r="N43" s="251"/>
      <c r="O43" s="259">
        <f>J44/0.33</f>
        <v>36.300000000000004</v>
      </c>
      <c r="P43" s="259">
        <f>K44/0.3</f>
        <v>62.113333333333358</v>
      </c>
      <c r="Q43" s="259">
        <f>(O43-P43)*(-$B$10)+O43</f>
        <v>62.113333333333358</v>
      </c>
    </row>
    <row r="44" spans="1:17" ht="15" customHeight="1">
      <c r="A44" s="231"/>
      <c r="B44" s="37" t="s">
        <v>17</v>
      </c>
      <c r="C44" s="37" t="s">
        <v>17</v>
      </c>
      <c r="D44" s="243" t="s">
        <v>180</v>
      </c>
      <c r="E44" s="236"/>
      <c r="F44" s="37" t="s">
        <v>17</v>
      </c>
      <c r="G44" s="243" t="s">
        <v>33</v>
      </c>
      <c r="H44" s="236"/>
      <c r="I44" s="111" t="s">
        <v>38</v>
      </c>
      <c r="J44" s="112">
        <f t="shared" ref="J44:K44" si="5">IF((MAX(J$16:J37)*1.1)&lt;=22, (MAX(J$16:J37)*1.1),22)</f>
        <v>11.979000000000001</v>
      </c>
      <c r="K44" s="113">
        <f t="shared" si="5"/>
        <v>18.634000000000007</v>
      </c>
      <c r="L44" s="265" t="s">
        <v>181</v>
      </c>
      <c r="M44" s="247"/>
      <c r="N44" s="248"/>
      <c r="O44" s="231"/>
      <c r="P44" s="231"/>
      <c r="Q44" s="231"/>
    </row>
    <row r="45" spans="1:17" ht="15" customHeight="1">
      <c r="A45" s="231"/>
      <c r="B45" s="41">
        <f>LOOKUP("T-Lf",'Pace Chart'!$E$24:$F$38)</f>
        <v>6.5393518518518517E-3</v>
      </c>
      <c r="C45" s="41">
        <f>LOOKUP("T-Lf",'Pace Chart'!$E$24:$F$38)</f>
        <v>6.5393518518518517E-3</v>
      </c>
      <c r="D45" s="42" t="s">
        <v>35</v>
      </c>
      <c r="E45" s="43">
        <f>LOOKUP("R-5K",'Pace Chart'!$E$24:$F$38)</f>
        <v>4.8726851851851856E-3</v>
      </c>
      <c r="F45" s="41">
        <f>LOOKUP("T-Lf",'Pace Chart'!$E$24:$F$38)</f>
        <v>6.5393518518518517E-3</v>
      </c>
      <c r="G45" s="42"/>
      <c r="H45" s="43"/>
      <c r="I45" s="41">
        <f>LOOKUP("R-5K",'Pace Chart'!$E$24:$F$38)</f>
        <v>4.8726851851851856E-3</v>
      </c>
      <c r="J45" s="44"/>
      <c r="K45" s="45"/>
      <c r="L45" s="46">
        <f>J44+(K44-J44)*Distance_Pct - 8</f>
        <v>10.634000000000007</v>
      </c>
      <c r="M45" s="47"/>
      <c r="N45" s="48">
        <f>LOOKUP("T-LS",'Pace Chart'!$E$24:$F$38)</f>
        <v>6.782407407407408E-3</v>
      </c>
      <c r="O45" s="231"/>
      <c r="P45" s="231"/>
      <c r="Q45" s="231"/>
    </row>
    <row r="46" spans="1:17" ht="15" customHeight="1">
      <c r="A46" s="231"/>
      <c r="B46" s="49" t="s">
        <v>23</v>
      </c>
      <c r="C46" s="49"/>
      <c r="D46" s="218" t="s">
        <v>24</v>
      </c>
      <c r="E46" s="43" t="s">
        <v>22</v>
      </c>
      <c r="F46" s="49"/>
      <c r="G46" s="42"/>
      <c r="H46" s="43"/>
      <c r="I46" s="49"/>
      <c r="J46" s="50"/>
      <c r="K46" s="51"/>
      <c r="L46" s="114" t="s">
        <v>39</v>
      </c>
      <c r="M46" s="47"/>
      <c r="N46" s="48">
        <f>LOOKUP("R-Mar",'Pace Chart'!$E$24:$F$38)</f>
        <v>5.5555555555555558E-3</v>
      </c>
      <c r="O46" s="231"/>
      <c r="P46" s="231"/>
      <c r="Q46" s="231"/>
    </row>
    <row r="47" spans="1:17" ht="15.75" customHeight="1">
      <c r="A47" s="231"/>
      <c r="B47" s="53" t="s">
        <v>27</v>
      </c>
      <c r="C47" s="49"/>
      <c r="D47" s="42"/>
      <c r="E47" s="43"/>
      <c r="F47" s="49"/>
      <c r="G47" s="42"/>
      <c r="H47" s="104"/>
      <c r="I47" s="49"/>
      <c r="J47" s="50"/>
      <c r="K47" s="51"/>
      <c r="L47" s="114" t="s">
        <v>40</v>
      </c>
      <c r="M47" s="47"/>
      <c r="N47" s="48" t="s">
        <v>22</v>
      </c>
      <c r="O47" s="231"/>
      <c r="P47" s="231"/>
      <c r="Q47" s="231"/>
    </row>
    <row r="48" spans="1:17" ht="15.75" customHeight="1">
      <c r="A48" s="231"/>
      <c r="B48" s="53"/>
      <c r="C48" s="49"/>
      <c r="D48" s="42"/>
      <c r="E48" s="43"/>
      <c r="F48" s="49"/>
      <c r="G48" s="42"/>
      <c r="H48" s="104"/>
      <c r="I48" s="49"/>
      <c r="J48" s="50"/>
      <c r="K48" s="51"/>
      <c r="L48" s="52"/>
      <c r="M48" s="47"/>
      <c r="N48" s="48"/>
      <c r="O48" s="231"/>
      <c r="P48" s="231"/>
      <c r="Q48" s="231"/>
    </row>
    <row r="49" spans="1:17" ht="15.75" customHeight="1">
      <c r="A49" s="232"/>
      <c r="B49" s="54"/>
      <c r="C49" s="55"/>
      <c r="D49" s="56"/>
      <c r="E49" s="57"/>
      <c r="F49" s="55"/>
      <c r="G49" s="56"/>
      <c r="H49" s="58"/>
      <c r="I49" s="55"/>
      <c r="J49" s="59"/>
      <c r="K49" s="60"/>
      <c r="L49" s="61"/>
      <c r="M49" s="62"/>
      <c r="N49" s="63"/>
      <c r="O49" s="232"/>
      <c r="P49" s="232"/>
      <c r="Q49" s="232"/>
    </row>
    <row r="50" spans="1:17" ht="15.75" customHeight="1">
      <c r="A50" s="230">
        <f>A43+1</f>
        <v>6</v>
      </c>
      <c r="B50" s="65">
        <f t="shared" ref="B50:C50" si="6">C50-1</f>
        <v>45152</v>
      </c>
      <c r="C50" s="66">
        <f t="shared" si="6"/>
        <v>45153</v>
      </c>
      <c r="D50" s="233">
        <f>F50-1</f>
        <v>45154</v>
      </c>
      <c r="E50" s="234"/>
      <c r="F50" s="66">
        <f>G50-1</f>
        <v>45155</v>
      </c>
      <c r="G50" s="233">
        <f>I50-1</f>
        <v>45156</v>
      </c>
      <c r="H50" s="234"/>
      <c r="I50" s="66">
        <f>L50-1</f>
        <v>45157</v>
      </c>
      <c r="J50" s="67" t="s">
        <v>11</v>
      </c>
      <c r="K50" s="68" t="s">
        <v>12</v>
      </c>
      <c r="L50" s="233">
        <f>B57-1</f>
        <v>45158</v>
      </c>
      <c r="M50" s="250"/>
      <c r="N50" s="251"/>
      <c r="O50" s="269">
        <v>35</v>
      </c>
      <c r="P50" s="260">
        <f>K51/0.3</f>
        <v>46.666666666666671</v>
      </c>
      <c r="Q50" s="260">
        <f>(O50-P50)*(-$B$10)+O50</f>
        <v>46.666666666666671</v>
      </c>
    </row>
    <row r="51" spans="1:17" ht="15" customHeight="1">
      <c r="A51" s="231"/>
      <c r="B51" s="70" t="s">
        <v>17</v>
      </c>
      <c r="C51" s="71" t="s">
        <v>17</v>
      </c>
      <c r="D51" s="235" t="s">
        <v>18</v>
      </c>
      <c r="E51" s="236"/>
      <c r="F51" s="71" t="s">
        <v>17</v>
      </c>
      <c r="G51" s="278" t="s">
        <v>19</v>
      </c>
      <c r="H51" s="279"/>
      <c r="I51" s="71" t="s">
        <v>17</v>
      </c>
      <c r="J51" s="115">
        <v>14</v>
      </c>
      <c r="K51" s="115">
        <v>14</v>
      </c>
      <c r="L51" s="254" t="s">
        <v>20</v>
      </c>
      <c r="M51" s="247"/>
      <c r="N51" s="248"/>
      <c r="O51" s="231"/>
      <c r="P51" s="231"/>
      <c r="Q51" s="231"/>
    </row>
    <row r="52" spans="1:17" ht="20.25" customHeight="1">
      <c r="A52" s="231"/>
      <c r="B52" s="74">
        <f>LOOKUP("T-Lf",'Pace Chart'!$E$24:$F$38)</f>
        <v>6.5393518518518517E-3</v>
      </c>
      <c r="C52" s="74">
        <f>LOOKUP("T-Lf",'Pace Chart'!$E$24:$F$38)</f>
        <v>6.5393518518518517E-3</v>
      </c>
      <c r="D52" s="299" t="s">
        <v>187</v>
      </c>
      <c r="E52" s="300"/>
      <c r="F52" s="74">
        <f>LOOKUP("T-Lf",'Pace Chart'!$E$24:$F$38)</f>
        <v>6.5393518518518517E-3</v>
      </c>
      <c r="G52" s="75" t="s">
        <v>21</v>
      </c>
      <c r="H52" s="76" t="s">
        <v>22</v>
      </c>
      <c r="I52" s="74">
        <f>LOOKUP("T-Lf",'Pace Chart'!$E$24:$F$38)</f>
        <v>6.5393518518518517E-3</v>
      </c>
      <c r="J52" s="79"/>
      <c r="K52" s="25"/>
      <c r="L52" s="80">
        <f>J51+(K51-J51)*Distance_Pct</f>
        <v>14</v>
      </c>
      <c r="M52" s="81"/>
      <c r="N52" s="82">
        <f>LOOKUP("T-LS",'Pace Chart'!$E$24:$F$38)</f>
        <v>6.782407407407408E-3</v>
      </c>
      <c r="O52" s="231"/>
      <c r="P52" s="231"/>
      <c r="Q52" s="231"/>
    </row>
    <row r="53" spans="1:17" ht="15" customHeight="1">
      <c r="A53" s="231"/>
      <c r="B53" s="83" t="s">
        <v>23</v>
      </c>
      <c r="C53" s="84"/>
      <c r="D53" s="301" t="s">
        <v>188</v>
      </c>
      <c r="E53" s="302"/>
      <c r="F53" s="84"/>
      <c r="G53" s="211" t="s">
        <v>25</v>
      </c>
      <c r="H53" s="76" t="s">
        <v>26</v>
      </c>
      <c r="I53" s="84" t="s">
        <v>23</v>
      </c>
      <c r="J53" s="85"/>
      <c r="K53" s="86"/>
      <c r="L53" s="87"/>
      <c r="M53" s="81"/>
      <c r="N53" s="82"/>
      <c r="O53" s="231"/>
      <c r="P53" s="231"/>
      <c r="Q53" s="231"/>
    </row>
    <row r="54" spans="1:17" ht="14.25" customHeight="1">
      <c r="A54" s="231"/>
      <c r="B54" s="88" t="s">
        <v>27</v>
      </c>
      <c r="C54" s="84"/>
      <c r="D54" s="105"/>
      <c r="E54" s="106"/>
      <c r="F54" s="84"/>
      <c r="G54" s="75" t="s">
        <v>28</v>
      </c>
      <c r="H54" s="116" t="s">
        <v>22</v>
      </c>
      <c r="I54" s="84"/>
      <c r="J54" s="85"/>
      <c r="K54" s="86"/>
      <c r="L54" s="87"/>
      <c r="M54" s="81"/>
      <c r="N54" s="82"/>
      <c r="O54" s="231"/>
      <c r="P54" s="231"/>
      <c r="Q54" s="231"/>
    </row>
    <row r="55" spans="1:17" ht="14.25" customHeight="1">
      <c r="A55" s="231"/>
      <c r="B55" s="89"/>
      <c r="C55" s="84"/>
      <c r="D55" s="105"/>
      <c r="E55" s="106"/>
      <c r="F55" s="84"/>
      <c r="G55" s="105"/>
      <c r="H55" s="106"/>
      <c r="I55" s="84"/>
      <c r="J55" s="85"/>
      <c r="K55" s="86"/>
      <c r="L55" s="87"/>
      <c r="M55" s="81"/>
      <c r="N55" s="82"/>
      <c r="O55" s="231"/>
      <c r="P55" s="231"/>
      <c r="Q55" s="231"/>
    </row>
    <row r="56" spans="1:17" ht="14.25" customHeight="1">
      <c r="A56" s="232"/>
      <c r="B56" s="90"/>
      <c r="C56" s="91"/>
      <c r="D56" s="92"/>
      <c r="E56" s="93"/>
      <c r="F56" s="94"/>
      <c r="G56" s="92"/>
      <c r="H56" s="109"/>
      <c r="I56" s="94"/>
      <c r="J56" s="95"/>
      <c r="K56" s="96"/>
      <c r="L56" s="97"/>
      <c r="M56" s="98"/>
      <c r="N56" s="99"/>
      <c r="O56" s="232"/>
      <c r="P56" s="232"/>
      <c r="Q56" s="232"/>
    </row>
    <row r="57" spans="1:17" ht="14.25" customHeight="1">
      <c r="A57" s="230">
        <f>A50+1</f>
        <v>7</v>
      </c>
      <c r="B57" s="33">
        <f t="shared" ref="B57:C57" si="7">C57-1</f>
        <v>45159</v>
      </c>
      <c r="C57" s="110">
        <f t="shared" si="7"/>
        <v>45160</v>
      </c>
      <c r="D57" s="264">
        <f>F57-1</f>
        <v>45161</v>
      </c>
      <c r="E57" s="234"/>
      <c r="F57" s="110">
        <f>G57-1</f>
        <v>45162</v>
      </c>
      <c r="G57" s="264">
        <f>I57-1</f>
        <v>45163</v>
      </c>
      <c r="H57" s="234"/>
      <c r="I57" s="110">
        <f>L57-1</f>
        <v>45164</v>
      </c>
      <c r="J57" s="101" t="s">
        <v>11</v>
      </c>
      <c r="K57" s="102" t="s">
        <v>12</v>
      </c>
      <c r="L57" s="237">
        <f>B64-1</f>
        <v>45165</v>
      </c>
      <c r="M57" s="252"/>
      <c r="N57" s="253"/>
      <c r="O57" s="259">
        <f>J58/0.33</f>
        <v>46.666666666666671</v>
      </c>
      <c r="P57" s="259">
        <f>K58/0.3</f>
        <v>60</v>
      </c>
      <c r="Q57" s="259">
        <f>(O57-P57)*(-$B$10)+O57</f>
        <v>60</v>
      </c>
    </row>
    <row r="58" spans="1:17" ht="15" customHeight="1">
      <c r="A58" s="231"/>
      <c r="B58" s="37" t="s">
        <v>17</v>
      </c>
      <c r="C58" s="37" t="s">
        <v>17</v>
      </c>
      <c r="D58" s="243" t="s">
        <v>189</v>
      </c>
      <c r="E58" s="236"/>
      <c r="F58" s="37" t="s">
        <v>17</v>
      </c>
      <c r="G58" s="243" t="s">
        <v>19</v>
      </c>
      <c r="H58" s="236"/>
      <c r="I58" s="37" t="s">
        <v>17</v>
      </c>
      <c r="J58" s="112">
        <f>IF((MAX(J$16:J51)*1.1)&lt;=18, (MAX(J$16:J51)*1.1),18)</f>
        <v>15.400000000000002</v>
      </c>
      <c r="K58" s="39">
        <v>18</v>
      </c>
      <c r="L58" s="265" t="s">
        <v>20</v>
      </c>
      <c r="M58" s="247"/>
      <c r="N58" s="248"/>
      <c r="O58" s="231"/>
      <c r="P58" s="231"/>
      <c r="Q58" s="231"/>
    </row>
    <row r="59" spans="1:17" ht="15" customHeight="1">
      <c r="A59" s="231"/>
      <c r="B59" s="41">
        <f>LOOKUP("T-Lf",'Pace Chart'!$E$24:$F$38)</f>
        <v>6.5393518518518517E-3</v>
      </c>
      <c r="C59" s="41">
        <f>LOOKUP("T-Lf",'Pace Chart'!$E$24:$F$38)</f>
        <v>6.5393518518518517E-3</v>
      </c>
      <c r="D59" s="117" t="s">
        <v>35</v>
      </c>
      <c r="E59" s="43">
        <f>LOOKUP("R-5K",'Pace Chart'!$E$24:$F$38)</f>
        <v>4.8726851851851856E-3</v>
      </c>
      <c r="F59" s="41">
        <f>LOOKUP("T-Lf",'Pace Chart'!$E$24:$F$38)</f>
        <v>6.5393518518518517E-3</v>
      </c>
      <c r="G59" s="42" t="s">
        <v>21</v>
      </c>
      <c r="H59" s="43" t="s">
        <v>22</v>
      </c>
      <c r="I59" s="41">
        <f>LOOKUP("T-Lf",'Pace Chart'!$E$24:$F$38)</f>
        <v>6.5393518518518517E-3</v>
      </c>
      <c r="J59" s="44"/>
      <c r="K59" s="45"/>
      <c r="L59" s="46">
        <f>J58+(K58-J58)*Distance_Pct</f>
        <v>18</v>
      </c>
      <c r="M59" s="47"/>
      <c r="N59" s="48">
        <f>LOOKUP("T-LSD",'Pace Chart'!$E$24:$F$38)</f>
        <v>6.782407407407408E-3</v>
      </c>
      <c r="O59" s="231"/>
      <c r="P59" s="231"/>
      <c r="Q59" s="231"/>
    </row>
    <row r="60" spans="1:17" ht="15" customHeight="1">
      <c r="A60" s="231"/>
      <c r="B60" s="49" t="s">
        <v>23</v>
      </c>
      <c r="C60" s="49"/>
      <c r="D60" s="42" t="s">
        <v>41</v>
      </c>
      <c r="E60" s="43" t="s">
        <v>22</v>
      </c>
      <c r="F60" s="49"/>
      <c r="G60" s="42" t="s">
        <v>190</v>
      </c>
      <c r="H60" s="43" t="s">
        <v>26</v>
      </c>
      <c r="I60" s="49" t="s">
        <v>23</v>
      </c>
      <c r="J60" s="50"/>
      <c r="K60" s="51"/>
      <c r="L60" s="52"/>
      <c r="M60" s="47"/>
      <c r="N60" s="48"/>
      <c r="O60" s="231"/>
      <c r="P60" s="231"/>
      <c r="Q60" s="231"/>
    </row>
    <row r="61" spans="1:17" ht="15" customHeight="1">
      <c r="A61" s="231"/>
      <c r="B61" s="53" t="s">
        <v>27</v>
      </c>
      <c r="C61" s="49"/>
      <c r="D61" s="42"/>
      <c r="E61" s="43"/>
      <c r="F61" s="49"/>
      <c r="G61" s="42" t="s">
        <v>191</v>
      </c>
      <c r="H61" s="104" t="s">
        <v>22</v>
      </c>
      <c r="I61" s="118"/>
      <c r="J61" s="50"/>
      <c r="K61" s="51"/>
      <c r="L61" s="277"/>
      <c r="M61" s="275"/>
      <c r="N61" s="276"/>
      <c r="O61" s="231"/>
      <c r="P61" s="231"/>
      <c r="Q61" s="231"/>
    </row>
    <row r="62" spans="1:17" ht="15" customHeight="1">
      <c r="A62" s="231"/>
      <c r="B62" s="53"/>
      <c r="C62" s="49"/>
      <c r="D62" s="42"/>
      <c r="E62" s="43"/>
      <c r="F62" s="49"/>
      <c r="G62" s="42" t="s">
        <v>28</v>
      </c>
      <c r="H62" s="104" t="s">
        <v>22</v>
      </c>
      <c r="I62" s="118"/>
      <c r="J62" s="50"/>
      <c r="K62" s="51"/>
      <c r="L62" s="52"/>
      <c r="M62" s="47"/>
      <c r="N62" s="48"/>
      <c r="O62" s="231"/>
      <c r="P62" s="231"/>
      <c r="Q62" s="231"/>
    </row>
    <row r="63" spans="1:17" ht="15.75" customHeight="1">
      <c r="A63" s="232"/>
      <c r="B63" s="54"/>
      <c r="C63" s="55"/>
      <c r="D63" s="56"/>
      <c r="E63" s="57"/>
      <c r="F63" s="55"/>
      <c r="G63" s="56"/>
      <c r="H63" s="58"/>
      <c r="I63" s="119"/>
      <c r="J63" s="59"/>
      <c r="K63" s="60"/>
      <c r="L63" s="61"/>
      <c r="M63" s="62"/>
      <c r="N63" s="63"/>
      <c r="O63" s="232"/>
      <c r="P63" s="232"/>
      <c r="Q63" s="232"/>
    </row>
    <row r="64" spans="1:17" ht="15.75" customHeight="1">
      <c r="A64" s="230">
        <f>A57+1</f>
        <v>8</v>
      </c>
      <c r="B64" s="65">
        <f t="shared" ref="B64:C64" si="8">C64-1</f>
        <v>45166</v>
      </c>
      <c r="C64" s="66">
        <f t="shared" si="8"/>
        <v>45167</v>
      </c>
      <c r="D64" s="239">
        <f>F64-1</f>
        <v>45168</v>
      </c>
      <c r="E64" s="238"/>
      <c r="F64" s="66">
        <f>G64-1</f>
        <v>45169</v>
      </c>
      <c r="G64" s="233">
        <f>I64-1</f>
        <v>45170</v>
      </c>
      <c r="H64" s="234"/>
      <c r="I64" s="66">
        <f>L64-1</f>
        <v>45171</v>
      </c>
      <c r="J64" s="67" t="s">
        <v>11</v>
      </c>
      <c r="K64" s="68" t="s">
        <v>12</v>
      </c>
      <c r="L64" s="239">
        <f>B71-1</f>
        <v>45172</v>
      </c>
      <c r="M64" s="252"/>
      <c r="N64" s="253"/>
      <c r="O64" s="260">
        <f>J65/0.33</f>
        <v>51.333333333333343</v>
      </c>
      <c r="P64" s="260">
        <f>K65/0.3</f>
        <v>68.324666666666701</v>
      </c>
      <c r="Q64" s="260">
        <f>(O64-P64)*(-$B$10)+O64</f>
        <v>68.324666666666701</v>
      </c>
    </row>
    <row r="65" spans="1:17" ht="15" customHeight="1">
      <c r="A65" s="231"/>
      <c r="B65" s="70" t="s">
        <v>17</v>
      </c>
      <c r="C65" s="71" t="s">
        <v>17</v>
      </c>
      <c r="D65" s="235" t="s">
        <v>48</v>
      </c>
      <c r="E65" s="236"/>
      <c r="F65" s="71" t="s">
        <v>17</v>
      </c>
      <c r="G65" s="235" t="s">
        <v>19</v>
      </c>
      <c r="H65" s="236"/>
      <c r="I65" s="71" t="s">
        <v>17</v>
      </c>
      <c r="J65" s="72">
        <f>IF((MAX(J$16:J58)*1.1)&lt;=18, (MAX(J$16:J58)*1.1),18)</f>
        <v>16.940000000000005</v>
      </c>
      <c r="K65" s="72">
        <f>IF((MAX(K$16:K58)*1.1)&lt;=22, (MAX(K$16:K58)*1.1),22)</f>
        <v>20.49740000000001</v>
      </c>
      <c r="L65" s="254" t="s">
        <v>42</v>
      </c>
      <c r="M65" s="247"/>
      <c r="N65" s="248"/>
      <c r="O65" s="231"/>
      <c r="P65" s="231"/>
      <c r="Q65" s="231"/>
    </row>
    <row r="66" spans="1:17" ht="15" customHeight="1">
      <c r="A66" s="231"/>
      <c r="B66" s="74">
        <f>LOOKUP("T-Lf",'Pace Chart'!$E$24:$F$38)</f>
        <v>6.5393518518518517E-3</v>
      </c>
      <c r="C66" s="74">
        <f>LOOKUP("T-Lf",'Pace Chart'!$E$24:$F$38)</f>
        <v>6.5393518518518517E-3</v>
      </c>
      <c r="D66" s="105" t="s">
        <v>49</v>
      </c>
      <c r="E66" s="106">
        <f>LOOKUP("R-Half",'Pace Chart'!$E$24:$F$38)</f>
        <v>5.37037037037037E-3</v>
      </c>
      <c r="F66" s="74">
        <f>LOOKUP("T-Lf",'Pace Chart'!$E$24:$F$38)</f>
        <v>6.5393518518518517E-3</v>
      </c>
      <c r="G66" s="105" t="s">
        <v>21</v>
      </c>
      <c r="H66" s="106" t="s">
        <v>22</v>
      </c>
      <c r="I66" s="74">
        <f>LOOKUP("T-Lf",'Pace Chart'!$E$24:$F$38)</f>
        <v>6.5393518518518517E-3</v>
      </c>
      <c r="J66" s="79"/>
      <c r="K66" s="25"/>
      <c r="L66" s="80">
        <f>J65+(K65-J65)*Distance_Pct</f>
        <v>20.49740000000001</v>
      </c>
      <c r="M66" s="81"/>
      <c r="N66" s="82">
        <f>LOOKUP("T-LS",'Pace Chart'!$E$24:$F$38)</f>
        <v>6.782407407407408E-3</v>
      </c>
      <c r="O66" s="231"/>
      <c r="P66" s="231"/>
      <c r="Q66" s="231"/>
    </row>
    <row r="67" spans="1:17" ht="15.75" customHeight="1">
      <c r="A67" s="231"/>
      <c r="B67" s="83" t="s">
        <v>23</v>
      </c>
      <c r="C67" s="84"/>
      <c r="D67" s="105" t="s">
        <v>50</v>
      </c>
      <c r="E67" s="106">
        <f>LOOKUP("t-can",'Pace Chart'!$E$24:$F$38)</f>
        <v>5.8333333333333336E-3</v>
      </c>
      <c r="F67" s="84"/>
      <c r="G67" s="105" t="s">
        <v>25</v>
      </c>
      <c r="H67" s="106" t="s">
        <v>26</v>
      </c>
      <c r="I67" s="84" t="s">
        <v>23</v>
      </c>
      <c r="J67" s="85"/>
      <c r="K67" s="86"/>
      <c r="L67" s="87" t="s">
        <v>43</v>
      </c>
      <c r="M67" s="81"/>
      <c r="N67" s="82">
        <f>LOOKUP("R-Mar",'Pace Chart'!$E$24:$F$38)</f>
        <v>5.5555555555555558E-3</v>
      </c>
      <c r="O67" s="231"/>
      <c r="P67" s="231"/>
      <c r="Q67" s="231"/>
    </row>
    <row r="68" spans="1:17" ht="15.75" customHeight="1">
      <c r="A68" s="231"/>
      <c r="B68" s="88" t="s">
        <v>27</v>
      </c>
      <c r="C68" s="84"/>
      <c r="D68" s="77"/>
      <c r="E68" s="78"/>
      <c r="F68" s="84"/>
      <c r="G68" s="105" t="s">
        <v>28</v>
      </c>
      <c r="H68" s="108" t="s">
        <v>22</v>
      </c>
      <c r="I68" s="84"/>
      <c r="J68" s="85"/>
      <c r="K68" s="86"/>
      <c r="L68" s="87"/>
      <c r="M68" s="81"/>
      <c r="N68" s="82"/>
      <c r="O68" s="231"/>
      <c r="P68" s="231"/>
      <c r="Q68" s="231"/>
    </row>
    <row r="69" spans="1:17" ht="15.75" customHeight="1">
      <c r="A69" s="231"/>
      <c r="B69" s="89"/>
      <c r="C69" s="84"/>
      <c r="D69" s="77"/>
      <c r="E69" s="78"/>
      <c r="F69" s="84"/>
      <c r="G69" s="77"/>
      <c r="H69" s="78"/>
      <c r="I69" s="84"/>
      <c r="J69" s="85"/>
      <c r="K69" s="86"/>
      <c r="L69" s="87"/>
      <c r="M69" s="81"/>
      <c r="N69" s="82"/>
      <c r="O69" s="231"/>
      <c r="P69" s="231"/>
      <c r="Q69" s="231"/>
    </row>
    <row r="70" spans="1:17" ht="15.75" customHeight="1">
      <c r="A70" s="232"/>
      <c r="B70" s="90"/>
      <c r="C70" s="91"/>
      <c r="D70" s="92"/>
      <c r="E70" s="93"/>
      <c r="F70" s="94"/>
      <c r="G70" s="92"/>
      <c r="H70" s="109"/>
      <c r="I70" s="94"/>
      <c r="J70" s="95"/>
      <c r="K70" s="96"/>
      <c r="L70" s="97"/>
      <c r="M70" s="98"/>
      <c r="N70" s="99"/>
      <c r="O70" s="232"/>
      <c r="P70" s="232"/>
      <c r="Q70" s="232"/>
    </row>
    <row r="71" spans="1:17" ht="14.25" customHeight="1">
      <c r="A71" s="230">
        <f>A64+1</f>
        <v>9</v>
      </c>
      <c r="B71" s="33">
        <f t="shared" ref="B71:C71" si="9">C71-1</f>
        <v>45173</v>
      </c>
      <c r="C71" s="110">
        <f t="shared" si="9"/>
        <v>45174</v>
      </c>
      <c r="D71" s="264">
        <f>F71-1</f>
        <v>45175</v>
      </c>
      <c r="E71" s="234"/>
      <c r="F71" s="110">
        <f>G71-1</f>
        <v>45176</v>
      </c>
      <c r="G71" s="237">
        <f>I71-1</f>
        <v>45177</v>
      </c>
      <c r="H71" s="238"/>
      <c r="I71" s="110">
        <f>L71-1</f>
        <v>45178</v>
      </c>
      <c r="J71" s="101" t="s">
        <v>11</v>
      </c>
      <c r="K71" s="102" t="s">
        <v>12</v>
      </c>
      <c r="L71" s="237">
        <f>B78-1</f>
        <v>45179</v>
      </c>
      <c r="M71" s="252"/>
      <c r="N71" s="253"/>
      <c r="O71" s="259">
        <f>J72/0.33</f>
        <v>36.36363636363636</v>
      </c>
      <c r="P71" s="259">
        <f>K72/0.3</f>
        <v>50</v>
      </c>
      <c r="Q71" s="259">
        <f>(O71-P71)*(-$B$10)+O71</f>
        <v>50</v>
      </c>
    </row>
    <row r="72" spans="1:17" ht="15" customHeight="1">
      <c r="A72" s="231"/>
      <c r="B72" s="37" t="s">
        <v>17</v>
      </c>
      <c r="C72" s="37" t="s">
        <v>17</v>
      </c>
      <c r="D72" s="243" t="s">
        <v>44</v>
      </c>
      <c r="E72" s="236"/>
      <c r="F72" s="37" t="s">
        <v>17</v>
      </c>
      <c r="G72" s="243" t="s">
        <v>19</v>
      </c>
      <c r="H72" s="236"/>
      <c r="I72" s="37" t="s">
        <v>17</v>
      </c>
      <c r="J72" s="38">
        <v>12</v>
      </c>
      <c r="K72" s="39">
        <v>15</v>
      </c>
      <c r="L72" s="265" t="str">
        <f>'NYC Marathon'!L100:N100</f>
        <v>Long Run</v>
      </c>
      <c r="M72" s="247"/>
      <c r="N72" s="248"/>
      <c r="O72" s="231"/>
      <c r="P72" s="231"/>
      <c r="Q72" s="231"/>
    </row>
    <row r="73" spans="1:17" ht="15" customHeight="1">
      <c r="A73" s="231"/>
      <c r="B73" s="41">
        <f>LOOKUP("T-Lf",'Pace Chart'!$E$24:$F$38)</f>
        <v>6.5393518518518517E-3</v>
      </c>
      <c r="C73" s="41">
        <f>LOOKUP("T-Lf",'Pace Chart'!$E$24:$F$38)</f>
        <v>6.5393518518518517E-3</v>
      </c>
      <c r="D73" s="42" t="s">
        <v>35</v>
      </c>
      <c r="E73" s="43">
        <f>LOOKUP("R-Half",'Pace Chart'!$E$24:$F$38)</f>
        <v>5.37037037037037E-3</v>
      </c>
      <c r="F73" s="41">
        <f>LOOKUP("T-Lf",'Pace Chart'!$E$24:$F$38)</f>
        <v>6.5393518518518517E-3</v>
      </c>
      <c r="G73" s="42" t="s">
        <v>21</v>
      </c>
      <c r="H73" s="43" t="s">
        <v>22</v>
      </c>
      <c r="I73" s="41">
        <f>LOOKUP("T-Lf",'Pace Chart'!$E$24:$F$38)</f>
        <v>6.5393518518518517E-3</v>
      </c>
      <c r="J73" s="44"/>
      <c r="K73" s="45"/>
      <c r="L73" s="46">
        <f>'NYC Marathon'!L101</f>
        <v>13</v>
      </c>
      <c r="M73" s="47"/>
      <c r="N73" s="48">
        <f>'NYC Marathon'!N101</f>
        <v>6.782407407407408E-3</v>
      </c>
      <c r="O73" s="231"/>
      <c r="P73" s="231"/>
      <c r="Q73" s="231"/>
    </row>
    <row r="74" spans="1:17" ht="15" customHeight="1">
      <c r="A74" s="231"/>
      <c r="B74" s="49" t="s">
        <v>23</v>
      </c>
      <c r="C74" s="49"/>
      <c r="D74" s="42" t="s">
        <v>41</v>
      </c>
      <c r="E74" s="43" t="s">
        <v>22</v>
      </c>
      <c r="F74" s="49"/>
      <c r="G74" s="42" t="s">
        <v>45</v>
      </c>
      <c r="H74" s="43">
        <f>LOOKUP("R-Mar",'Pace Chart'!$E$24:$F$38)</f>
        <v>5.5555555555555558E-3</v>
      </c>
      <c r="I74" s="49" t="s">
        <v>23</v>
      </c>
      <c r="J74" s="50"/>
      <c r="K74" s="51"/>
      <c r="L74" s="249" t="s">
        <v>182</v>
      </c>
      <c r="M74" s="250"/>
      <c r="N74" s="251"/>
      <c r="O74" s="231"/>
      <c r="P74" s="231"/>
      <c r="Q74" s="231"/>
    </row>
    <row r="75" spans="1:17" ht="15" customHeight="1">
      <c r="A75" s="231"/>
      <c r="B75" s="53" t="s">
        <v>27</v>
      </c>
      <c r="C75" s="49"/>
      <c r="D75" s="42" t="s">
        <v>47</v>
      </c>
      <c r="E75" s="43">
        <f>LOOKUP("R-1M",'Pace Chart'!$E$24:$F$38)</f>
        <v>4.5254629629629629E-3</v>
      </c>
      <c r="F75" s="49"/>
      <c r="G75" s="42" t="s">
        <v>28</v>
      </c>
      <c r="H75" s="43" t="s">
        <v>22</v>
      </c>
      <c r="I75" s="118"/>
      <c r="J75" s="50"/>
      <c r="K75" s="51"/>
      <c r="L75" s="246"/>
      <c r="M75" s="247"/>
      <c r="N75" s="248"/>
      <c r="O75" s="231"/>
      <c r="P75" s="231"/>
      <c r="Q75" s="231"/>
    </row>
    <row r="76" spans="1:17" ht="15" customHeight="1">
      <c r="A76" s="231"/>
      <c r="B76" s="53"/>
      <c r="C76" s="49"/>
      <c r="D76" s="42" t="s">
        <v>41</v>
      </c>
      <c r="E76" s="43" t="s">
        <v>22</v>
      </c>
      <c r="F76" s="49"/>
      <c r="G76" s="42"/>
      <c r="H76" s="43"/>
      <c r="I76" s="118"/>
      <c r="J76" s="50"/>
      <c r="K76" s="51"/>
      <c r="L76" s="46"/>
      <c r="M76" s="47"/>
      <c r="N76" s="48"/>
      <c r="O76" s="231"/>
      <c r="P76" s="231"/>
      <c r="Q76" s="231"/>
    </row>
    <row r="77" spans="1:17" ht="15" customHeight="1">
      <c r="A77" s="232"/>
      <c r="B77" s="54"/>
      <c r="C77" s="55"/>
      <c r="D77" s="56"/>
      <c r="E77" s="57"/>
      <c r="F77" s="55"/>
      <c r="G77" s="56"/>
      <c r="H77" s="58"/>
      <c r="I77" s="119"/>
      <c r="J77" s="59"/>
      <c r="K77" s="60"/>
      <c r="L77" s="61"/>
      <c r="M77" s="62"/>
      <c r="N77" s="63"/>
      <c r="O77" s="232"/>
      <c r="P77" s="232"/>
      <c r="Q77" s="232"/>
    </row>
    <row r="78" spans="1:17" ht="15.75" customHeight="1">
      <c r="A78" s="230">
        <f>A71+1</f>
        <v>10</v>
      </c>
      <c r="B78" s="65">
        <f t="shared" ref="B78:C78" si="10">C78-1</f>
        <v>45180</v>
      </c>
      <c r="C78" s="66">
        <f t="shared" si="10"/>
        <v>45181</v>
      </c>
      <c r="D78" s="233">
        <f>F78-1</f>
        <v>45182</v>
      </c>
      <c r="E78" s="234"/>
      <c r="F78" s="66">
        <f>G78-1</f>
        <v>45183</v>
      </c>
      <c r="G78" s="233">
        <f>I78-1</f>
        <v>45184</v>
      </c>
      <c r="H78" s="234"/>
      <c r="I78" s="66">
        <f>L78-1</f>
        <v>45185</v>
      </c>
      <c r="J78" s="67" t="s">
        <v>11</v>
      </c>
      <c r="K78" s="68" t="s">
        <v>12</v>
      </c>
      <c r="L78" s="239">
        <f>B85-1</f>
        <v>45186</v>
      </c>
      <c r="M78" s="252"/>
      <c r="N78" s="253"/>
      <c r="O78" s="260">
        <f>J79/0.33</f>
        <v>54.54545454545454</v>
      </c>
      <c r="P78" s="260">
        <f>K79/0.3</f>
        <v>73.333333333333343</v>
      </c>
      <c r="Q78" s="260">
        <f>(O78-P78)*(-$B$10)+O78</f>
        <v>73.333333333333343</v>
      </c>
    </row>
    <row r="79" spans="1:17" ht="15" customHeight="1">
      <c r="A79" s="231"/>
      <c r="B79" s="70" t="s">
        <v>17</v>
      </c>
      <c r="C79" s="71" t="s">
        <v>17</v>
      </c>
      <c r="D79" s="235" t="s">
        <v>52</v>
      </c>
      <c r="E79" s="236"/>
      <c r="F79" s="71" t="s">
        <v>17</v>
      </c>
      <c r="G79" s="235" t="s">
        <v>33</v>
      </c>
      <c r="H79" s="236"/>
      <c r="I79" s="70" t="s">
        <v>17</v>
      </c>
      <c r="J79" s="72">
        <f>IF((MAX(J$16:J72)*1.1)&lt;=18, (MAX(J$16:J72)*1.1),18)</f>
        <v>18</v>
      </c>
      <c r="K79" s="72">
        <f>IF((MAX(K$16:K72)*1.1)&lt;=22, (MAX(K$16:K72)*1.1),22)</f>
        <v>22</v>
      </c>
      <c r="L79" s="261" t="s">
        <v>53</v>
      </c>
      <c r="M79" s="262"/>
      <c r="N79" s="263"/>
      <c r="O79" s="231"/>
      <c r="P79" s="231"/>
      <c r="Q79" s="231"/>
    </row>
    <row r="80" spans="1:17" ht="15" customHeight="1">
      <c r="A80" s="231"/>
      <c r="B80" s="74">
        <f>LOOKUP("T-Lf",'Pace Chart'!$E$24:$F$38)</f>
        <v>6.5393518518518517E-3</v>
      </c>
      <c r="C80" s="74">
        <f>LOOKUP("T-Lf",'Pace Chart'!$E$24:$F$38)</f>
        <v>6.5393518518518517E-3</v>
      </c>
      <c r="D80" s="77" t="s">
        <v>54</v>
      </c>
      <c r="E80" s="106">
        <f>LOOKUP("R-half",'Pace Chart'!$E$24:$F$38)</f>
        <v>5.37037037037037E-3</v>
      </c>
      <c r="F80" s="74">
        <f>LOOKUP("T-Lf",'Pace Chart'!$E$24:$F$38)</f>
        <v>6.5393518518518517E-3</v>
      </c>
      <c r="G80" s="105"/>
      <c r="H80" s="106"/>
      <c r="I80" s="74">
        <f>LOOKUP("T-Lf",'Pace Chart'!$E$24:$F$38)</f>
        <v>6.5393518518518517E-3</v>
      </c>
      <c r="J80" s="79"/>
      <c r="K80" s="25"/>
      <c r="L80" s="214" t="s">
        <v>79</v>
      </c>
      <c r="M80" s="215"/>
      <c r="N80" s="216">
        <f>LOOKUP("R-Half",'Pace Chart'!$E$24:$F$38)</f>
        <v>5.37037037037037E-3</v>
      </c>
      <c r="O80" s="231"/>
      <c r="P80" s="231"/>
      <c r="Q80" s="231"/>
    </row>
    <row r="81" spans="1:17" ht="15" customHeight="1">
      <c r="A81" s="231"/>
      <c r="B81" s="83" t="s">
        <v>23</v>
      </c>
      <c r="C81" s="84"/>
      <c r="D81" s="77" t="s">
        <v>55</v>
      </c>
      <c r="E81" s="106" t="s">
        <v>22</v>
      </c>
      <c r="F81" s="84"/>
      <c r="G81" s="105"/>
      <c r="H81" s="106"/>
      <c r="I81" s="83" t="s">
        <v>23</v>
      </c>
      <c r="J81" s="85"/>
      <c r="K81" s="86"/>
      <c r="L81" s="87"/>
      <c r="M81" s="81"/>
      <c r="N81" s="82"/>
      <c r="O81" s="231"/>
      <c r="P81" s="231"/>
      <c r="Q81" s="231"/>
    </row>
    <row r="82" spans="1:17" ht="15" customHeight="1">
      <c r="A82" s="231"/>
      <c r="B82" s="88" t="s">
        <v>27</v>
      </c>
      <c r="C82" s="84"/>
      <c r="D82" s="77"/>
      <c r="E82" s="78"/>
      <c r="F82" s="84"/>
      <c r="G82" s="105"/>
      <c r="H82" s="106"/>
      <c r="I82" s="83"/>
      <c r="J82" s="85"/>
      <c r="K82" s="86"/>
      <c r="L82" s="87"/>
      <c r="M82" s="81"/>
      <c r="N82" s="82"/>
      <c r="O82" s="231"/>
      <c r="P82" s="231"/>
      <c r="Q82" s="231"/>
    </row>
    <row r="83" spans="1:17" ht="14.25" customHeight="1">
      <c r="A83" s="231"/>
      <c r="B83" s="89"/>
      <c r="C83" s="84"/>
      <c r="D83" s="77"/>
      <c r="E83" s="78"/>
      <c r="F83" s="84"/>
      <c r="G83" s="77"/>
      <c r="H83" s="78"/>
      <c r="I83" s="120"/>
      <c r="J83" s="85"/>
      <c r="K83" s="86"/>
      <c r="L83" s="87"/>
      <c r="M83" s="81"/>
      <c r="N83" s="82"/>
      <c r="O83" s="231"/>
      <c r="P83" s="231"/>
      <c r="Q83" s="231"/>
    </row>
    <row r="84" spans="1:17" ht="14.25" customHeight="1">
      <c r="A84" s="232"/>
      <c r="B84" s="90"/>
      <c r="C84" s="91"/>
      <c r="D84" s="92"/>
      <c r="E84" s="93"/>
      <c r="F84" s="94"/>
      <c r="G84" s="92"/>
      <c r="H84" s="109"/>
      <c r="I84" s="94"/>
      <c r="J84" s="95"/>
      <c r="K84" s="96"/>
      <c r="L84" s="97"/>
      <c r="M84" s="98"/>
      <c r="N84" s="99"/>
      <c r="O84" s="232"/>
      <c r="P84" s="232"/>
      <c r="Q84" s="232"/>
    </row>
    <row r="85" spans="1:17" ht="14.25" customHeight="1">
      <c r="A85" s="230">
        <f>A78+1</f>
        <v>11</v>
      </c>
      <c r="B85" s="33">
        <f t="shared" ref="B85:C85" si="11">C85-1</f>
        <v>45187</v>
      </c>
      <c r="C85" s="110">
        <f t="shared" si="11"/>
        <v>45188</v>
      </c>
      <c r="D85" s="237">
        <f>F85-1</f>
        <v>45189</v>
      </c>
      <c r="E85" s="238"/>
      <c r="F85" s="110">
        <f>G85-1</f>
        <v>45190</v>
      </c>
      <c r="G85" s="237">
        <f>I85-1</f>
        <v>45191</v>
      </c>
      <c r="H85" s="238"/>
      <c r="I85" s="110">
        <f>L85-1</f>
        <v>45192</v>
      </c>
      <c r="J85" s="101" t="s">
        <v>11</v>
      </c>
      <c r="K85" s="102" t="s">
        <v>12</v>
      </c>
      <c r="L85" s="237">
        <f>B92-1</f>
        <v>45193</v>
      </c>
      <c r="M85" s="252"/>
      <c r="N85" s="253"/>
      <c r="O85" s="259">
        <f>J86/0.33</f>
        <v>30.303030303030301</v>
      </c>
      <c r="P85" s="259">
        <f>K86/0.3</f>
        <v>33.333333333333336</v>
      </c>
      <c r="Q85" s="259">
        <f>(O85-P85)*(-$B$10)+O85</f>
        <v>33.333333333333336</v>
      </c>
    </row>
    <row r="86" spans="1:17" ht="15" customHeight="1">
      <c r="A86" s="231"/>
      <c r="B86" s="37" t="s">
        <v>17</v>
      </c>
      <c r="C86" s="37" t="s">
        <v>17</v>
      </c>
      <c r="D86" s="240" t="s">
        <v>173</v>
      </c>
      <c r="E86" s="236"/>
      <c r="F86" s="37" t="s">
        <v>17</v>
      </c>
      <c r="G86" s="243" t="s">
        <v>19</v>
      </c>
      <c r="H86" s="236"/>
      <c r="I86" s="37" t="s">
        <v>17</v>
      </c>
      <c r="J86" s="38">
        <v>10</v>
      </c>
      <c r="K86" s="39">
        <v>10</v>
      </c>
      <c r="L86" s="271" t="s">
        <v>20</v>
      </c>
      <c r="M86" s="272"/>
      <c r="N86" s="273"/>
      <c r="O86" s="231"/>
      <c r="P86" s="231"/>
      <c r="Q86" s="231"/>
    </row>
    <row r="87" spans="1:17" ht="15" customHeight="1">
      <c r="A87" s="231"/>
      <c r="B87" s="41">
        <f>LOOKUP("T-Lf",'Pace Chart'!$E$24:$F$38)</f>
        <v>6.5393518518518517E-3</v>
      </c>
      <c r="C87" s="41">
        <f>LOOKUP("T-Lf",'Pace Chart'!$E$24:$F$38)</f>
        <v>6.5393518518518517E-3</v>
      </c>
      <c r="D87" s="209" t="s">
        <v>49</v>
      </c>
      <c r="E87" s="43">
        <f>LOOKUP("R-Mar",'Pace Chart'!$E$24:$F$38)</f>
        <v>5.5555555555555558E-3</v>
      </c>
      <c r="F87" s="41">
        <f>LOOKUP("T-Lf",'Pace Chart'!$E$24:$F$38)</f>
        <v>6.5393518518518517E-3</v>
      </c>
      <c r="G87" s="42" t="s">
        <v>21</v>
      </c>
      <c r="H87" s="43" t="s">
        <v>22</v>
      </c>
      <c r="I87" s="41">
        <f>LOOKUP("T-Lf",'Pace Chart'!$E$24:$F$38)</f>
        <v>6.5393518518518517E-3</v>
      </c>
      <c r="J87" s="44"/>
      <c r="K87" s="45"/>
      <c r="L87" s="217" t="s">
        <v>56</v>
      </c>
      <c r="M87" s="48"/>
      <c r="N87" s="48">
        <f>LOOKUP("T-LSD",'Pace Chart'!$E$24:$F$38)</f>
        <v>6.782407407407408E-3</v>
      </c>
      <c r="O87" s="231"/>
      <c r="P87" s="231"/>
      <c r="Q87" s="231"/>
    </row>
    <row r="88" spans="1:17" ht="15" customHeight="1">
      <c r="A88" s="231"/>
      <c r="B88" s="49" t="s">
        <v>23</v>
      </c>
      <c r="C88" s="49"/>
      <c r="D88" s="209" t="s">
        <v>174</v>
      </c>
      <c r="E88" s="43" t="s">
        <v>22</v>
      </c>
      <c r="F88" s="49"/>
      <c r="G88" s="209" t="s">
        <v>51</v>
      </c>
      <c r="H88" s="43">
        <f>LOOKUP("R-Mar",'Pace Chart'!$E$24:$F$38)</f>
        <v>5.5555555555555558E-3</v>
      </c>
      <c r="I88" s="49" t="s">
        <v>23</v>
      </c>
      <c r="J88" s="50"/>
      <c r="K88" s="51"/>
      <c r="L88" s="52"/>
      <c r="M88" s="47"/>
      <c r="N88" s="48"/>
      <c r="O88" s="231"/>
      <c r="P88" s="231"/>
      <c r="Q88" s="231"/>
    </row>
    <row r="89" spans="1:17" ht="15.75" customHeight="1">
      <c r="A89" s="231"/>
      <c r="B89" s="53" t="s">
        <v>27</v>
      </c>
      <c r="C89" s="49"/>
      <c r="D89" s="42"/>
      <c r="E89" s="43"/>
      <c r="F89" s="49"/>
      <c r="G89" s="42" t="s">
        <v>28</v>
      </c>
      <c r="H89" s="43" t="s">
        <v>22</v>
      </c>
      <c r="I89" s="118"/>
      <c r="J89" s="50"/>
      <c r="K89" s="51"/>
      <c r="L89" s="277"/>
      <c r="M89" s="275"/>
      <c r="N89" s="276"/>
      <c r="O89" s="231"/>
      <c r="P89" s="231"/>
      <c r="Q89" s="231"/>
    </row>
    <row r="90" spans="1:17" ht="15.75" customHeight="1">
      <c r="A90" s="231"/>
      <c r="B90" s="53"/>
      <c r="C90" s="49"/>
      <c r="D90" s="42"/>
      <c r="E90" s="43"/>
      <c r="F90" s="49"/>
      <c r="G90" s="42"/>
      <c r="H90" s="104"/>
      <c r="I90" s="118"/>
      <c r="J90" s="50"/>
      <c r="K90" s="51"/>
      <c r="L90" s="52"/>
      <c r="M90" s="47"/>
      <c r="N90" s="48"/>
      <c r="O90" s="231"/>
      <c r="P90" s="231"/>
      <c r="Q90" s="231"/>
    </row>
    <row r="91" spans="1:17" ht="15.75" customHeight="1">
      <c r="A91" s="232"/>
      <c r="B91" s="54"/>
      <c r="C91" s="55"/>
      <c r="D91" s="56"/>
      <c r="E91" s="57"/>
      <c r="F91" s="55"/>
      <c r="G91" s="56"/>
      <c r="H91" s="58"/>
      <c r="I91" s="119"/>
      <c r="J91" s="59"/>
      <c r="K91" s="60"/>
      <c r="L91" s="61"/>
      <c r="M91" s="62"/>
      <c r="N91" s="63"/>
      <c r="O91" s="232"/>
      <c r="P91" s="232"/>
      <c r="Q91" s="232"/>
    </row>
    <row r="92" spans="1:17" ht="15.75" customHeight="1">
      <c r="A92" s="230">
        <f>A85+1</f>
        <v>12</v>
      </c>
      <c r="B92" s="65">
        <f t="shared" ref="B92:C92" si="12">C92-1</f>
        <v>45194</v>
      </c>
      <c r="C92" s="66">
        <f t="shared" si="12"/>
        <v>45195</v>
      </c>
      <c r="D92" s="233">
        <f>F92-1</f>
        <v>45196</v>
      </c>
      <c r="E92" s="234"/>
      <c r="F92" s="66">
        <f>G92-1</f>
        <v>45197</v>
      </c>
      <c r="G92" s="233">
        <f>I92-1</f>
        <v>45198</v>
      </c>
      <c r="H92" s="234"/>
      <c r="I92" s="66">
        <f>L92-1</f>
        <v>45199</v>
      </c>
      <c r="J92" s="67" t="s">
        <v>11</v>
      </c>
      <c r="K92" s="68" t="s">
        <v>12</v>
      </c>
      <c r="L92" s="239">
        <f>B99-1</f>
        <v>45200</v>
      </c>
      <c r="M92" s="252"/>
      <c r="N92" s="253"/>
      <c r="O92" s="260">
        <f>J93/0.333</f>
        <v>54.054054054054049</v>
      </c>
      <c r="P92" s="260">
        <f>K93/0.3</f>
        <v>73.333333333333343</v>
      </c>
      <c r="Q92" s="260">
        <f>(O92-P92)*(-$B$10)+O92</f>
        <v>73.333333333333343</v>
      </c>
    </row>
    <row r="93" spans="1:17" ht="15" customHeight="1">
      <c r="A93" s="231"/>
      <c r="B93" s="70" t="s">
        <v>17</v>
      </c>
      <c r="C93" s="71" t="s">
        <v>17</v>
      </c>
      <c r="D93" s="235" t="s">
        <v>29</v>
      </c>
      <c r="E93" s="236"/>
      <c r="F93" s="71" t="s">
        <v>17</v>
      </c>
      <c r="G93" s="270" t="s">
        <v>19</v>
      </c>
      <c r="H93" s="236"/>
      <c r="I93" s="71" t="s">
        <v>17</v>
      </c>
      <c r="J93" s="72">
        <f>IF((MAX(J$16:J86)*1.1)&lt;=18, (MAX(J$16:J86)*1.1),18)</f>
        <v>18</v>
      </c>
      <c r="K93" s="72">
        <f>IF((MAX(K$16:K86)*1.1)&lt;=22, (MAX(K$16:K86)*1.1),22)</f>
        <v>22</v>
      </c>
      <c r="L93" s="254" t="s">
        <v>20</v>
      </c>
      <c r="M93" s="247"/>
      <c r="N93" s="248"/>
      <c r="O93" s="231"/>
      <c r="P93" s="231"/>
      <c r="Q93" s="231"/>
    </row>
    <row r="94" spans="1:17" ht="15" customHeight="1">
      <c r="A94" s="231"/>
      <c r="B94" s="74">
        <f>LOOKUP("T-Lf",'Pace Chart'!$E$24:$F$38)</f>
        <v>6.5393518518518517E-3</v>
      </c>
      <c r="C94" s="74">
        <f>LOOKUP("T-Lf",'Pace Chart'!$E$24:$F$38)</f>
        <v>6.5393518518518517E-3</v>
      </c>
      <c r="D94" s="105" t="s">
        <v>35</v>
      </c>
      <c r="E94" s="106">
        <f>LOOKUP("R-5K",'Pace Chart'!$E$24:$F$38)</f>
        <v>4.8726851851851856E-3</v>
      </c>
      <c r="F94" s="74">
        <f>LOOKUP("T-Lf",'Pace Chart'!$E$24:$F$38)</f>
        <v>6.5393518518518517E-3</v>
      </c>
      <c r="G94" s="105" t="s">
        <v>21</v>
      </c>
      <c r="H94" s="106" t="s">
        <v>22</v>
      </c>
      <c r="I94" s="74">
        <f>LOOKUP("T-Lf",'Pace Chart'!$E$24:$F$38)</f>
        <v>6.5393518518518517E-3</v>
      </c>
      <c r="J94" s="79"/>
      <c r="K94" s="25"/>
      <c r="L94" s="213" t="s">
        <v>176</v>
      </c>
      <c r="M94" s="81"/>
      <c r="N94" s="82">
        <f>LOOKUP("T-LSD",'Pace Chart'!$E$24:$F$38)</f>
        <v>6.782407407407408E-3</v>
      </c>
      <c r="O94" s="231"/>
      <c r="P94" s="231"/>
      <c r="Q94" s="231"/>
    </row>
    <row r="95" spans="1:17" ht="15" customHeight="1">
      <c r="A95" s="231"/>
      <c r="B95" s="83" t="s">
        <v>23</v>
      </c>
      <c r="C95" s="84"/>
      <c r="D95" s="105" t="s">
        <v>49</v>
      </c>
      <c r="E95" s="106">
        <f>LOOKUP("R-10K",'Pace Chart'!$E$24:$F$38)</f>
        <v>5.1041666666666666E-3</v>
      </c>
      <c r="F95" s="84"/>
      <c r="G95" s="210" t="s">
        <v>175</v>
      </c>
      <c r="H95" s="76">
        <f>LOOKUP("R-Mar",'Pace Chart'!$E$24:$F$38)</f>
        <v>5.5555555555555558E-3</v>
      </c>
      <c r="I95" s="84" t="s">
        <v>23</v>
      </c>
      <c r="J95" s="85"/>
      <c r="K95" s="86"/>
      <c r="L95" s="87"/>
      <c r="M95" s="81"/>
      <c r="N95" s="82"/>
      <c r="O95" s="231"/>
      <c r="P95" s="231"/>
      <c r="Q95" s="231"/>
    </row>
    <row r="96" spans="1:17" ht="15.75" customHeight="1">
      <c r="A96" s="231"/>
      <c r="B96" s="88" t="s">
        <v>27</v>
      </c>
      <c r="C96" s="84"/>
      <c r="D96" s="77" t="s">
        <v>57</v>
      </c>
      <c r="E96" s="106">
        <f>LOOKUP("R-Half",'Pace Chart'!$E$24:$F$38)</f>
        <v>5.37037037037037E-3</v>
      </c>
      <c r="F96" s="84"/>
      <c r="G96" s="75" t="s">
        <v>28</v>
      </c>
      <c r="H96" s="76" t="s">
        <v>22</v>
      </c>
      <c r="I96" s="84"/>
      <c r="J96" s="85"/>
      <c r="K96" s="86"/>
      <c r="L96" s="87"/>
      <c r="M96" s="81"/>
      <c r="N96" s="82"/>
      <c r="O96" s="231"/>
      <c r="P96" s="231"/>
      <c r="Q96" s="231"/>
    </row>
    <row r="97" spans="1:17" ht="15.75" customHeight="1">
      <c r="A97" s="231"/>
      <c r="B97" s="89"/>
      <c r="C97" s="84"/>
      <c r="D97" s="105" t="s">
        <v>58</v>
      </c>
      <c r="E97" s="106" t="s">
        <v>22</v>
      </c>
      <c r="F97" s="84"/>
      <c r="I97" s="84"/>
      <c r="J97" s="85"/>
      <c r="K97" s="86"/>
      <c r="L97" s="87"/>
      <c r="M97" s="81"/>
      <c r="N97" s="82"/>
      <c r="O97" s="231"/>
      <c r="P97" s="231"/>
      <c r="Q97" s="231"/>
    </row>
    <row r="98" spans="1:17" ht="15.75" customHeight="1">
      <c r="A98" s="232"/>
      <c r="B98" s="90"/>
      <c r="C98" s="91"/>
      <c r="D98" s="92"/>
      <c r="E98" s="109"/>
      <c r="F98" s="94"/>
      <c r="G98" s="92"/>
      <c r="H98" s="109"/>
      <c r="I98" s="94"/>
      <c r="J98" s="95"/>
      <c r="K98" s="96"/>
      <c r="L98" s="97"/>
      <c r="M98" s="98"/>
      <c r="N98" s="99"/>
      <c r="O98" s="232"/>
      <c r="P98" s="232"/>
      <c r="Q98" s="232"/>
    </row>
    <row r="99" spans="1:17" ht="14.25" customHeight="1">
      <c r="A99" s="230">
        <f>A92+1</f>
        <v>13</v>
      </c>
      <c r="B99" s="33">
        <f t="shared" ref="B99:C99" si="13">C99-1</f>
        <v>45201</v>
      </c>
      <c r="C99" s="110">
        <f t="shared" si="13"/>
        <v>45202</v>
      </c>
      <c r="D99" s="237">
        <f>F99-1</f>
        <v>45203</v>
      </c>
      <c r="E99" s="238"/>
      <c r="F99" s="110">
        <f>G99-1</f>
        <v>45204</v>
      </c>
      <c r="G99" s="237">
        <f>I99-1</f>
        <v>45205</v>
      </c>
      <c r="H99" s="238"/>
      <c r="I99" s="110">
        <f>L99-1</f>
        <v>45206</v>
      </c>
      <c r="J99" s="101" t="s">
        <v>11</v>
      </c>
      <c r="K99" s="102" t="s">
        <v>12</v>
      </c>
      <c r="L99" s="237">
        <f>B106-1</f>
        <v>45207</v>
      </c>
      <c r="M99" s="252"/>
      <c r="N99" s="253"/>
      <c r="O99" s="259">
        <f>J100/0.33</f>
        <v>39.393939393939391</v>
      </c>
      <c r="P99" s="259">
        <f>K100/0.3</f>
        <v>43.333333333333336</v>
      </c>
      <c r="Q99" s="259">
        <f>(O99-P99)*(-$B$10)+O99</f>
        <v>43.333333333333336</v>
      </c>
    </row>
    <row r="100" spans="1:17" ht="15" customHeight="1">
      <c r="A100" s="231"/>
      <c r="B100" s="37" t="s">
        <v>17</v>
      </c>
      <c r="C100" s="37" t="s">
        <v>17</v>
      </c>
      <c r="D100" s="240" t="s">
        <v>68</v>
      </c>
      <c r="E100" s="236"/>
      <c r="F100" s="37" t="s">
        <v>17</v>
      </c>
      <c r="G100" s="243" t="s">
        <v>19</v>
      </c>
      <c r="H100" s="236"/>
      <c r="I100" s="37" t="s">
        <v>17</v>
      </c>
      <c r="J100" s="38">
        <v>13</v>
      </c>
      <c r="K100" s="39">
        <v>13</v>
      </c>
      <c r="L100" s="265" t="s">
        <v>20</v>
      </c>
      <c r="M100" s="247"/>
      <c r="N100" s="248"/>
      <c r="O100" s="231"/>
      <c r="P100" s="231"/>
      <c r="Q100" s="231"/>
    </row>
    <row r="101" spans="1:17" ht="15" customHeight="1">
      <c r="A101" s="231"/>
      <c r="B101" s="41">
        <f>LOOKUP("T-Lf",'Pace Chart'!$E$24:$F$38)</f>
        <v>6.5393518518518517E-3</v>
      </c>
      <c r="C101" s="41">
        <f>LOOKUP("T-Lf",'Pace Chart'!$E$24:$F$38)</f>
        <v>6.5393518518518517E-3</v>
      </c>
      <c r="D101" s="209" t="s">
        <v>59</v>
      </c>
      <c r="E101" s="43">
        <f>LOOKUP("R-Mar",'Pace Chart'!$E$24:$F$38)</f>
        <v>5.5555555555555558E-3</v>
      </c>
      <c r="F101" s="41">
        <f>LOOKUP("T-Lf",'Pace Chart'!$E$24:$F$38)</f>
        <v>6.5393518518518517E-3</v>
      </c>
      <c r="G101" s="42" t="s">
        <v>21</v>
      </c>
      <c r="H101" s="43" t="s">
        <v>22</v>
      </c>
      <c r="I101" s="41">
        <f>LOOKUP("T-Lf",'Pace Chart'!$E$24:$F$38)</f>
        <v>6.5393518518518517E-3</v>
      </c>
      <c r="J101" s="44"/>
      <c r="K101" s="45"/>
      <c r="L101" s="46">
        <f>J100+(K100-J100)*Distance_Pct</f>
        <v>13</v>
      </c>
      <c r="M101" s="47"/>
      <c r="N101" s="48">
        <f>LOOKUP("T-LS",'Pace Chart'!$E$24:$F$38)</f>
        <v>6.782407407407408E-3</v>
      </c>
      <c r="O101" s="231"/>
      <c r="P101" s="231"/>
      <c r="Q101" s="231"/>
    </row>
    <row r="102" spans="1:17" ht="15" customHeight="1">
      <c r="A102" s="231"/>
      <c r="B102" s="49" t="s">
        <v>23</v>
      </c>
      <c r="C102" s="49"/>
      <c r="D102" s="42" t="s">
        <v>60</v>
      </c>
      <c r="E102" s="43" t="s">
        <v>22</v>
      </c>
      <c r="F102" s="49"/>
      <c r="G102" s="209" t="s">
        <v>64</v>
      </c>
      <c r="H102" s="43">
        <f>LOOKUP("R-Mar",'Pace Chart'!$E$24:$F$38)</f>
        <v>5.5555555555555558E-3</v>
      </c>
      <c r="I102" s="49" t="s">
        <v>23</v>
      </c>
      <c r="J102" s="50"/>
      <c r="K102" s="51"/>
      <c r="L102" s="52"/>
      <c r="M102" s="47"/>
      <c r="N102" s="48"/>
      <c r="O102" s="231"/>
      <c r="P102" s="231"/>
      <c r="Q102" s="231"/>
    </row>
    <row r="103" spans="1:17" ht="15.75" customHeight="1">
      <c r="A103" s="231"/>
      <c r="B103" s="53" t="s">
        <v>27</v>
      </c>
      <c r="C103" s="49"/>
      <c r="D103" s="42"/>
      <c r="E103" s="43"/>
      <c r="F103" s="49"/>
      <c r="G103" s="42" t="s">
        <v>28</v>
      </c>
      <c r="H103" s="43" t="s">
        <v>22</v>
      </c>
      <c r="I103" s="118"/>
      <c r="J103" s="50"/>
      <c r="K103" s="51"/>
      <c r="L103" s="274"/>
      <c r="M103" s="275"/>
      <c r="N103" s="276"/>
      <c r="O103" s="231"/>
      <c r="P103" s="231"/>
      <c r="Q103" s="231"/>
    </row>
    <row r="104" spans="1:17" ht="15.75" customHeight="1">
      <c r="A104" s="231"/>
      <c r="B104" s="53"/>
      <c r="C104" s="49"/>
      <c r="D104" s="42"/>
      <c r="E104" s="43"/>
      <c r="F104" s="49"/>
      <c r="G104" s="42"/>
      <c r="H104" s="104"/>
      <c r="I104" s="118"/>
      <c r="J104" s="50"/>
      <c r="K104" s="51"/>
      <c r="L104" s="121"/>
      <c r="M104" s="122"/>
      <c r="N104" s="123"/>
      <c r="O104" s="231"/>
      <c r="P104" s="231"/>
      <c r="Q104" s="231"/>
    </row>
    <row r="105" spans="1:17" ht="15.75" customHeight="1">
      <c r="A105" s="232"/>
      <c r="B105" s="54"/>
      <c r="C105" s="55"/>
      <c r="D105" s="56"/>
      <c r="E105" s="57"/>
      <c r="F105" s="55"/>
      <c r="G105" s="56"/>
      <c r="H105" s="58"/>
      <c r="I105" s="119"/>
      <c r="J105" s="59"/>
      <c r="K105" s="60"/>
      <c r="L105" s="61"/>
      <c r="M105" s="62"/>
      <c r="N105" s="63"/>
      <c r="O105" s="232"/>
      <c r="P105" s="232"/>
      <c r="Q105" s="232"/>
    </row>
    <row r="106" spans="1:17" ht="15.75" customHeight="1">
      <c r="A106" s="230">
        <f>A99+1</f>
        <v>14</v>
      </c>
      <c r="B106" s="65">
        <f t="shared" ref="B106:C106" si="14">C106-1</f>
        <v>45208</v>
      </c>
      <c r="C106" s="66">
        <f t="shared" si="14"/>
        <v>45209</v>
      </c>
      <c r="D106" s="233">
        <f>F106-1</f>
        <v>45210</v>
      </c>
      <c r="E106" s="234"/>
      <c r="F106" s="66">
        <f>G106-1</f>
        <v>45211</v>
      </c>
      <c r="G106" s="233">
        <f>I106-1</f>
        <v>45212</v>
      </c>
      <c r="H106" s="234"/>
      <c r="I106" s="66">
        <f>L106-1</f>
        <v>45213</v>
      </c>
      <c r="J106" s="67" t="s">
        <v>11</v>
      </c>
      <c r="K106" s="68" t="s">
        <v>12</v>
      </c>
      <c r="L106" s="239">
        <f>B113-1</f>
        <v>45214</v>
      </c>
      <c r="M106" s="252"/>
      <c r="N106" s="253"/>
      <c r="O106" s="260">
        <f>J107/0.33</f>
        <v>48.484848484848484</v>
      </c>
      <c r="P106" s="260">
        <f>K107/0.3</f>
        <v>60</v>
      </c>
      <c r="Q106" s="260">
        <f>(O106-P106)*(-$B$10)+O106</f>
        <v>60</v>
      </c>
    </row>
    <row r="107" spans="1:17" ht="15" customHeight="1">
      <c r="A107" s="231"/>
      <c r="B107" s="70" t="s">
        <v>17</v>
      </c>
      <c r="C107" s="71" t="s">
        <v>17</v>
      </c>
      <c r="D107" s="235" t="s">
        <v>62</v>
      </c>
      <c r="E107" s="236"/>
      <c r="F107" s="71" t="s">
        <v>17</v>
      </c>
      <c r="G107" s="270" t="s">
        <v>19</v>
      </c>
      <c r="H107" s="236"/>
      <c r="I107" s="71" t="s">
        <v>17</v>
      </c>
      <c r="J107" s="115">
        <v>16</v>
      </c>
      <c r="K107" s="115">
        <v>18</v>
      </c>
      <c r="L107" s="254" t="s">
        <v>20</v>
      </c>
      <c r="M107" s="247"/>
      <c r="N107" s="248"/>
      <c r="O107" s="231"/>
      <c r="P107" s="231"/>
      <c r="Q107" s="231"/>
    </row>
    <row r="108" spans="1:17" ht="15" customHeight="1">
      <c r="A108" s="231"/>
      <c r="B108" s="74">
        <f>LOOKUP("T-Lf",'Pace Chart'!$E$24:$F$38)</f>
        <v>6.5393518518518517E-3</v>
      </c>
      <c r="C108" s="74">
        <f>LOOKUP("T-Lf",'Pace Chart'!$E$24:$F$38)</f>
        <v>6.5393518518518517E-3</v>
      </c>
      <c r="D108" s="105" t="s">
        <v>63</v>
      </c>
      <c r="E108" s="106">
        <f>LOOKUP("R-Half",'Pace Chart'!$E$24:$F$38)</f>
        <v>5.37037037037037E-3</v>
      </c>
      <c r="F108" s="74">
        <f>LOOKUP("T-Lf",'Pace Chart'!$E$24:$F$38)</f>
        <v>6.5393518518518517E-3</v>
      </c>
      <c r="G108" s="77" t="s">
        <v>21</v>
      </c>
      <c r="H108" s="78" t="s">
        <v>22</v>
      </c>
      <c r="I108" s="74">
        <f>LOOKUP("T-Lf",'Pace Chart'!$E$24:$F$38)</f>
        <v>6.5393518518518517E-3</v>
      </c>
      <c r="J108" s="79"/>
      <c r="K108" s="25"/>
      <c r="L108" s="80">
        <f>J107+(K107-J107)*Distance_Pct</f>
        <v>18</v>
      </c>
      <c r="M108" s="81"/>
      <c r="N108" s="82">
        <f>LOOKUP("T-LS",'Pace Chart'!$E$24:$F$38)</f>
        <v>6.782407407407408E-3</v>
      </c>
      <c r="O108" s="231"/>
      <c r="P108" s="231"/>
      <c r="Q108" s="231"/>
    </row>
    <row r="109" spans="1:17" ht="15" customHeight="1">
      <c r="A109" s="231"/>
      <c r="B109" s="83" t="s">
        <v>23</v>
      </c>
      <c r="C109" s="84"/>
      <c r="D109" s="105" t="s">
        <v>63</v>
      </c>
      <c r="E109" s="106">
        <f>LOOKUP("T-Can",'Pace Chart'!$E$24:$F$38)</f>
        <v>5.8333333333333336E-3</v>
      </c>
      <c r="F109" s="84"/>
      <c r="G109" s="210" t="s">
        <v>177</v>
      </c>
      <c r="H109" s="78">
        <f>LOOKUP("R-Mar",'Pace Chart'!$E$24:$F$38)</f>
        <v>5.5555555555555558E-3</v>
      </c>
      <c r="I109" s="84" t="s">
        <v>23</v>
      </c>
      <c r="J109" s="85"/>
      <c r="K109" s="86"/>
      <c r="L109" s="87" t="s">
        <v>43</v>
      </c>
      <c r="M109" s="81"/>
      <c r="N109" s="82">
        <f>LOOKUP("R-Mar",'Pace Chart'!$E$24:$F$38)</f>
        <v>5.5555555555555558E-3</v>
      </c>
      <c r="O109" s="231"/>
      <c r="P109" s="231"/>
      <c r="Q109" s="231"/>
    </row>
    <row r="110" spans="1:17" ht="14.25" customHeight="1">
      <c r="A110" s="231"/>
      <c r="B110" s="88" t="s">
        <v>27</v>
      </c>
      <c r="C110" s="84"/>
      <c r="D110" s="124"/>
      <c r="E110" s="125"/>
      <c r="F110" s="84"/>
      <c r="G110" s="77" t="s">
        <v>28</v>
      </c>
      <c r="H110" s="78" t="s">
        <v>22</v>
      </c>
      <c r="I110" s="84"/>
      <c r="J110" s="85"/>
      <c r="K110" s="86"/>
      <c r="L110" s="87"/>
      <c r="M110" s="81"/>
      <c r="N110" s="82"/>
      <c r="O110" s="231"/>
      <c r="P110" s="231"/>
      <c r="Q110" s="231"/>
    </row>
    <row r="111" spans="1:17" ht="14.25" customHeight="1">
      <c r="A111" s="231"/>
      <c r="B111" s="89"/>
      <c r="C111" s="84"/>
      <c r="D111" s="77"/>
      <c r="E111" s="78"/>
      <c r="F111" s="84"/>
      <c r="G111" s="77"/>
      <c r="H111" s="78"/>
      <c r="I111" s="84"/>
      <c r="J111" s="85"/>
      <c r="K111" s="86"/>
      <c r="L111" s="87"/>
      <c r="M111" s="81"/>
      <c r="N111" s="82"/>
      <c r="O111" s="231"/>
      <c r="P111" s="231"/>
      <c r="Q111" s="231"/>
    </row>
    <row r="112" spans="1:17" ht="14.25" customHeight="1">
      <c r="A112" s="232"/>
      <c r="B112" s="90"/>
      <c r="C112" s="91"/>
      <c r="D112" s="92"/>
      <c r="E112" s="93"/>
      <c r="F112" s="94"/>
      <c r="G112" s="92"/>
      <c r="H112" s="109"/>
      <c r="I112" s="94"/>
      <c r="J112" s="95"/>
      <c r="K112" s="96"/>
      <c r="L112" s="97"/>
      <c r="M112" s="98"/>
      <c r="N112" s="99"/>
      <c r="O112" s="232"/>
      <c r="P112" s="232"/>
      <c r="Q112" s="232"/>
    </row>
    <row r="113" spans="1:17" ht="15" customHeight="1">
      <c r="A113" s="230">
        <f>A106+1</f>
        <v>15</v>
      </c>
      <c r="B113" s="33">
        <f t="shared" ref="B113:C113" si="15">C113-1</f>
        <v>45215</v>
      </c>
      <c r="C113" s="110">
        <f t="shared" si="15"/>
        <v>45216</v>
      </c>
      <c r="D113" s="237">
        <f>F113-1</f>
        <v>45217</v>
      </c>
      <c r="E113" s="238"/>
      <c r="F113" s="110">
        <f>G113-1</f>
        <v>45218</v>
      </c>
      <c r="G113" s="237">
        <f>I113-1</f>
        <v>45219</v>
      </c>
      <c r="H113" s="238"/>
      <c r="I113" s="110">
        <f>L113-1</f>
        <v>45220</v>
      </c>
      <c r="J113" s="101" t="s">
        <v>11</v>
      </c>
      <c r="K113" s="102" t="s">
        <v>12</v>
      </c>
      <c r="L113" s="237">
        <f>B120-1</f>
        <v>45221</v>
      </c>
      <c r="M113" s="252"/>
      <c r="N113" s="253"/>
      <c r="O113" s="259">
        <f>J114/0.33</f>
        <v>48.484848484848484</v>
      </c>
      <c r="P113" s="259">
        <f>K114/0.3</f>
        <v>56.666666666666671</v>
      </c>
      <c r="Q113" s="259">
        <f>(O113-P113)*(-$B$10)+O113</f>
        <v>56.666666666666671</v>
      </c>
    </row>
    <row r="114" spans="1:17" ht="15" customHeight="1">
      <c r="A114" s="231"/>
      <c r="B114" s="37" t="s">
        <v>17</v>
      </c>
      <c r="C114" s="37" t="s">
        <v>17</v>
      </c>
      <c r="D114" s="240" t="s">
        <v>52</v>
      </c>
      <c r="E114" s="236"/>
      <c r="F114" s="37" t="s">
        <v>17</v>
      </c>
      <c r="G114" s="243" t="s">
        <v>19</v>
      </c>
      <c r="H114" s="236"/>
      <c r="I114" s="37" t="s">
        <v>17</v>
      </c>
      <c r="J114" s="38">
        <v>16</v>
      </c>
      <c r="K114" s="39">
        <v>17</v>
      </c>
      <c r="L114" s="265" t="s">
        <v>20</v>
      </c>
      <c r="M114" s="247"/>
      <c r="N114" s="248"/>
      <c r="O114" s="231"/>
      <c r="P114" s="231"/>
      <c r="Q114" s="231"/>
    </row>
    <row r="115" spans="1:17" ht="15" customHeight="1">
      <c r="A115" s="231"/>
      <c r="B115" s="41">
        <f>LOOKUP("T-Lf",'Pace Chart'!$E$24:$F$38)</f>
        <v>6.5393518518518517E-3</v>
      </c>
      <c r="C115" s="41">
        <f>LOOKUP("T-Lf",'Pace Chart'!$E$24:$F$38)</f>
        <v>6.5393518518518517E-3</v>
      </c>
      <c r="D115" s="42" t="s">
        <v>59</v>
      </c>
      <c r="E115" s="43">
        <f>LOOKUP("R-Mar",'Pace Chart'!$E$24:$F$38)</f>
        <v>5.5555555555555558E-3</v>
      </c>
      <c r="F115" s="41">
        <f>LOOKUP("T-Lf",'Pace Chart'!$E$24:$F$38)</f>
        <v>6.5393518518518517E-3</v>
      </c>
      <c r="G115" s="42" t="s">
        <v>21</v>
      </c>
      <c r="H115" s="43" t="s">
        <v>22</v>
      </c>
      <c r="I115" s="41">
        <f>LOOKUP("T-Lf",'Pace Chart'!$E$24:$F$38)</f>
        <v>6.5393518518518517E-3</v>
      </c>
      <c r="J115" s="44"/>
      <c r="K115" s="45"/>
      <c r="L115" s="46">
        <f>J114+(K114-J114)*Distance_Pct</f>
        <v>17</v>
      </c>
      <c r="M115" s="47"/>
      <c r="N115" s="48">
        <f>LOOKUP("T-LS",'Pace Chart'!$E$24:$F$38)</f>
        <v>6.782407407407408E-3</v>
      </c>
      <c r="O115" s="231"/>
      <c r="P115" s="231"/>
      <c r="Q115" s="231"/>
    </row>
    <row r="116" spans="1:17" ht="15" customHeight="1">
      <c r="A116" s="231"/>
      <c r="B116" s="49" t="s">
        <v>23</v>
      </c>
      <c r="C116" s="49"/>
      <c r="D116" s="42" t="s">
        <v>60</v>
      </c>
      <c r="E116" s="43" t="s">
        <v>22</v>
      </c>
      <c r="F116" s="49"/>
      <c r="G116" s="42" t="s">
        <v>66</v>
      </c>
      <c r="H116" s="43">
        <f>LOOKUP("R-Mar",'Pace Chart'!$E$24:$F$38)</f>
        <v>5.5555555555555558E-3</v>
      </c>
      <c r="I116" s="49" t="s">
        <v>23</v>
      </c>
      <c r="J116" s="50"/>
      <c r="K116" s="51"/>
      <c r="L116" s="52"/>
      <c r="M116" s="47"/>
      <c r="N116" s="48"/>
      <c r="O116" s="231"/>
      <c r="P116" s="231"/>
      <c r="Q116" s="231"/>
    </row>
    <row r="117" spans="1:17" ht="15.75" customHeight="1">
      <c r="A117" s="231"/>
      <c r="B117" s="53" t="s">
        <v>27</v>
      </c>
      <c r="C117" s="49"/>
      <c r="D117" s="42"/>
      <c r="E117" s="43"/>
      <c r="F117" s="49"/>
      <c r="G117" s="42" t="s">
        <v>28</v>
      </c>
      <c r="H117" s="104" t="s">
        <v>22</v>
      </c>
      <c r="I117" s="118"/>
      <c r="J117" s="50"/>
      <c r="K117" s="51"/>
      <c r="L117" s="277"/>
      <c r="M117" s="275"/>
      <c r="N117" s="276"/>
      <c r="O117" s="231"/>
      <c r="P117" s="231"/>
      <c r="Q117" s="231"/>
    </row>
    <row r="118" spans="1:17" ht="15.75" customHeight="1">
      <c r="A118" s="231"/>
      <c r="B118" s="53"/>
      <c r="C118" s="49"/>
      <c r="D118" s="42"/>
      <c r="E118" s="43"/>
      <c r="F118" s="49"/>
      <c r="G118" s="42"/>
      <c r="H118" s="104"/>
      <c r="I118" s="118"/>
      <c r="J118" s="50"/>
      <c r="K118" s="51"/>
      <c r="L118" s="52"/>
      <c r="M118" s="47"/>
      <c r="N118" s="48"/>
      <c r="O118" s="231"/>
      <c r="P118" s="231"/>
      <c r="Q118" s="231"/>
    </row>
    <row r="119" spans="1:17" ht="15.75" customHeight="1">
      <c r="A119" s="232"/>
      <c r="B119" s="54"/>
      <c r="C119" s="55"/>
      <c r="D119" s="56"/>
      <c r="E119" s="57"/>
      <c r="F119" s="55"/>
      <c r="G119" s="56"/>
      <c r="H119" s="58"/>
      <c r="I119" s="119"/>
      <c r="J119" s="59"/>
      <c r="K119" s="60"/>
      <c r="L119" s="61"/>
      <c r="M119" s="62"/>
      <c r="N119" s="63"/>
      <c r="O119" s="232"/>
      <c r="P119" s="232"/>
      <c r="Q119" s="232"/>
    </row>
    <row r="120" spans="1:17" ht="14.25" customHeight="1">
      <c r="A120" s="230">
        <f>A113+1</f>
        <v>16</v>
      </c>
      <c r="B120" s="65">
        <f t="shared" ref="B120:C120" si="16">C120-1</f>
        <v>45222</v>
      </c>
      <c r="C120" s="66">
        <f t="shared" si="16"/>
        <v>45223</v>
      </c>
      <c r="D120" s="233">
        <f>F120-1</f>
        <v>45224</v>
      </c>
      <c r="E120" s="234"/>
      <c r="F120" s="66">
        <f>G120-1</f>
        <v>45225</v>
      </c>
      <c r="G120" s="233">
        <f>I120-1</f>
        <v>45226</v>
      </c>
      <c r="H120" s="234"/>
      <c r="I120" s="66">
        <f>L120-1</f>
        <v>45227</v>
      </c>
      <c r="J120" s="67" t="s">
        <v>11</v>
      </c>
      <c r="K120" s="68" t="s">
        <v>12</v>
      </c>
      <c r="L120" s="239">
        <f>B127-1</f>
        <v>45228</v>
      </c>
      <c r="M120" s="252"/>
      <c r="N120" s="253"/>
      <c r="O120" s="260">
        <f>J121/0.33</f>
        <v>30.303030303030301</v>
      </c>
      <c r="P120" s="260">
        <f>K121/0.3</f>
        <v>33.333333333333336</v>
      </c>
      <c r="Q120" s="260">
        <f>(O120-P120)*(-$B$10)+O120</f>
        <v>33.333333333333336</v>
      </c>
    </row>
    <row r="121" spans="1:17" ht="14.25" customHeight="1">
      <c r="A121" s="231"/>
      <c r="B121" s="70" t="s">
        <v>67</v>
      </c>
      <c r="C121" s="71" t="s">
        <v>17</v>
      </c>
      <c r="D121" s="235" t="s">
        <v>68</v>
      </c>
      <c r="E121" s="236"/>
      <c r="F121" s="71" t="s">
        <v>17</v>
      </c>
      <c r="G121" s="270" t="s">
        <v>19</v>
      </c>
      <c r="H121" s="236"/>
      <c r="I121" s="71" t="s">
        <v>69</v>
      </c>
      <c r="J121" s="115">
        <v>10</v>
      </c>
      <c r="K121" s="115">
        <v>10</v>
      </c>
      <c r="L121" s="254" t="s">
        <v>70</v>
      </c>
      <c r="M121" s="247"/>
      <c r="N121" s="248"/>
      <c r="O121" s="231"/>
      <c r="P121" s="231"/>
      <c r="Q121" s="231"/>
    </row>
    <row r="122" spans="1:17" ht="14.25" customHeight="1">
      <c r="A122" s="231"/>
      <c r="B122" s="74"/>
      <c r="C122" s="74">
        <f>LOOKUP("T-Lf",'Pace Chart'!$E$24:$F$38)</f>
        <v>6.5393518518518517E-3</v>
      </c>
      <c r="D122" s="105" t="s">
        <v>57</v>
      </c>
      <c r="E122" s="106">
        <f>LOOKUP("R-Mar",'Pace Chart'!$E$24:$F$38)</f>
        <v>5.5555555555555558E-3</v>
      </c>
      <c r="F122" s="74">
        <f>LOOKUP("T-Lf",'Pace Chart'!$E$24:$F$38)</f>
        <v>6.5393518518518517E-3</v>
      </c>
      <c r="G122" s="77" t="s">
        <v>21</v>
      </c>
      <c r="H122" s="78" t="s">
        <v>22</v>
      </c>
      <c r="I122" s="74">
        <f>LOOKUP("T-Lf",'Pace Chart'!$E$24:$F$38)</f>
        <v>6.5393518518518517E-3</v>
      </c>
      <c r="J122" s="79"/>
      <c r="K122" s="25"/>
      <c r="L122" s="80">
        <f>J121+(K121-J121)*Distance_Pct</f>
        <v>10</v>
      </c>
      <c r="M122" s="81"/>
      <c r="N122" s="82">
        <f>LOOKUP("T-LS",'Pace Chart'!$E$24:$F$38)</f>
        <v>6.782407407407408E-3</v>
      </c>
      <c r="O122" s="231"/>
      <c r="P122" s="231"/>
      <c r="Q122" s="231"/>
    </row>
    <row r="123" spans="1:17" ht="14.25" customHeight="1">
      <c r="A123" s="231"/>
      <c r="B123" s="83"/>
      <c r="C123" s="84"/>
      <c r="D123" s="105" t="s">
        <v>60</v>
      </c>
      <c r="E123" s="106" t="s">
        <v>22</v>
      </c>
      <c r="F123" s="84"/>
      <c r="G123" s="77" t="s">
        <v>61</v>
      </c>
      <c r="H123" s="78">
        <f>LOOKUP("R-Mar",'Pace Chart'!$E$24:$F$38)</f>
        <v>5.5555555555555558E-3</v>
      </c>
      <c r="I123" s="84" t="s">
        <v>23</v>
      </c>
      <c r="J123" s="85"/>
      <c r="K123" s="86"/>
      <c r="L123" s="87"/>
      <c r="M123" s="81"/>
      <c r="N123" s="82"/>
      <c r="O123" s="231"/>
      <c r="P123" s="231"/>
      <c r="Q123" s="231"/>
    </row>
    <row r="124" spans="1:17" ht="14.25" customHeight="1">
      <c r="A124" s="231"/>
      <c r="B124" s="88"/>
      <c r="C124" s="84"/>
      <c r="D124" s="77"/>
      <c r="E124" s="78"/>
      <c r="F124" s="84"/>
      <c r="G124" s="77" t="s">
        <v>28</v>
      </c>
      <c r="H124" s="78" t="s">
        <v>22</v>
      </c>
      <c r="I124" s="84"/>
      <c r="J124" s="85"/>
      <c r="K124" s="86"/>
      <c r="L124" s="87"/>
      <c r="M124" s="81"/>
      <c r="N124" s="82"/>
      <c r="O124" s="231"/>
      <c r="P124" s="231"/>
      <c r="Q124" s="231"/>
    </row>
    <row r="125" spans="1:17" ht="14.25" customHeight="1">
      <c r="A125" s="231"/>
      <c r="B125" s="89"/>
      <c r="C125" s="84"/>
      <c r="D125" s="77"/>
      <c r="E125" s="78"/>
      <c r="F125" s="84"/>
      <c r="G125" s="77"/>
      <c r="H125" s="78"/>
      <c r="I125" s="84"/>
      <c r="J125" s="85"/>
      <c r="K125" s="86"/>
      <c r="L125" s="87"/>
      <c r="M125" s="81"/>
      <c r="N125" s="82"/>
      <c r="O125" s="231"/>
      <c r="P125" s="231"/>
      <c r="Q125" s="231"/>
    </row>
    <row r="126" spans="1:17" ht="14.25" customHeight="1">
      <c r="A126" s="232"/>
      <c r="B126" s="90"/>
      <c r="C126" s="91"/>
      <c r="D126" s="92"/>
      <c r="E126" s="93"/>
      <c r="F126" s="94"/>
      <c r="G126" s="92"/>
      <c r="H126" s="109"/>
      <c r="I126" s="94"/>
      <c r="J126" s="95"/>
      <c r="K126" s="96"/>
      <c r="L126" s="97"/>
      <c r="M126" s="98"/>
      <c r="N126" s="99"/>
      <c r="O126" s="232"/>
      <c r="P126" s="232"/>
      <c r="Q126" s="232"/>
    </row>
    <row r="127" spans="1:17" ht="14.25" customHeight="1">
      <c r="A127" s="230">
        <f>A120+1</f>
        <v>17</v>
      </c>
      <c r="B127" s="33">
        <f t="shared" ref="B127:C127" si="17">C127-1</f>
        <v>45229</v>
      </c>
      <c r="C127" s="110">
        <f t="shared" si="17"/>
        <v>45230</v>
      </c>
      <c r="D127" s="237">
        <f>F127-1</f>
        <v>45231</v>
      </c>
      <c r="E127" s="238"/>
      <c r="F127" s="110">
        <f>G127-1</f>
        <v>45232</v>
      </c>
      <c r="G127" s="237">
        <f>I127-1</f>
        <v>45233</v>
      </c>
      <c r="H127" s="238"/>
      <c r="I127" s="110">
        <f>L127-1</f>
        <v>45234</v>
      </c>
      <c r="J127" s="126"/>
      <c r="K127" s="126"/>
      <c r="L127" s="237">
        <f>B11</f>
        <v>45235</v>
      </c>
      <c r="M127" s="252"/>
      <c r="N127" s="253"/>
      <c r="O127" s="259">
        <v>24</v>
      </c>
      <c r="P127" s="259">
        <v>32</v>
      </c>
      <c r="Q127" s="259" t="s">
        <v>71</v>
      </c>
    </row>
    <row r="128" spans="1:17" ht="14.25" customHeight="1">
      <c r="A128" s="231"/>
      <c r="B128" s="127" t="s">
        <v>67</v>
      </c>
      <c r="C128" s="37" t="s">
        <v>72</v>
      </c>
      <c r="D128" s="243" t="s">
        <v>65</v>
      </c>
      <c r="E128" s="236"/>
      <c r="F128" s="37" t="s">
        <v>72</v>
      </c>
      <c r="G128" s="243" t="s">
        <v>192</v>
      </c>
      <c r="H128" s="236"/>
      <c r="I128" s="37"/>
      <c r="J128" s="128"/>
      <c r="K128" s="128"/>
      <c r="L128" s="265"/>
      <c r="M128" s="247"/>
      <c r="N128" s="248"/>
      <c r="O128" s="231"/>
      <c r="P128" s="231"/>
      <c r="Q128" s="231"/>
    </row>
    <row r="129" spans="1:17" ht="14.25" customHeight="1">
      <c r="A129" s="231"/>
      <c r="B129" s="53"/>
      <c r="C129" s="41">
        <f>LOOKUP("T-Lf",'Pace Chart'!$E$24:$F$38)</f>
        <v>6.5393518518518517E-3</v>
      </c>
      <c r="D129" s="42" t="s">
        <v>59</v>
      </c>
      <c r="E129" s="43">
        <f>LOOKUP("R-Mar",'Pace Chart'!$E$24:$F$38)</f>
        <v>5.5555555555555558E-3</v>
      </c>
      <c r="F129" s="41">
        <f>LOOKUP("T-Lf",'Pace Chart'!$E$24:$F$38)</f>
        <v>6.5393518518518517E-3</v>
      </c>
      <c r="G129" s="42" t="s">
        <v>74</v>
      </c>
      <c r="H129" s="43" t="s">
        <v>22</v>
      </c>
      <c r="I129" s="41" t="s">
        <v>75</v>
      </c>
      <c r="J129" s="129"/>
      <c r="K129" s="129"/>
      <c r="L129" s="130" t="s">
        <v>76</v>
      </c>
      <c r="M129" s="47"/>
      <c r="N129" s="48"/>
      <c r="O129" s="231"/>
      <c r="P129" s="231"/>
      <c r="Q129" s="231"/>
    </row>
    <row r="130" spans="1:17" ht="14.25" customHeight="1">
      <c r="A130" s="231"/>
      <c r="B130" s="53"/>
      <c r="C130" s="49"/>
      <c r="D130" s="42" t="s">
        <v>60</v>
      </c>
      <c r="E130" s="43" t="s">
        <v>22</v>
      </c>
      <c r="F130" s="49"/>
      <c r="G130" s="42" t="s">
        <v>74</v>
      </c>
      <c r="H130" s="43">
        <f>LOOKUP("R-mar",'Pace Chart'!$E$24:$F$38)</f>
        <v>5.5555555555555558E-3</v>
      </c>
      <c r="I130" s="49" t="s">
        <v>77</v>
      </c>
      <c r="J130" s="129"/>
      <c r="K130" s="129"/>
      <c r="L130" s="131" t="s">
        <v>78</v>
      </c>
      <c r="M130" s="122"/>
      <c r="N130" s="123">
        <f>LOOKUP("R-Mar",'Pace Chart'!$E$24:$F$38)</f>
        <v>5.5555555555555558E-3</v>
      </c>
      <c r="O130" s="231"/>
      <c r="P130" s="231"/>
      <c r="Q130" s="231"/>
    </row>
    <row r="131" spans="1:17" ht="14.25" customHeight="1">
      <c r="A131" s="231"/>
      <c r="B131" s="53"/>
      <c r="C131" s="49"/>
      <c r="D131" s="42"/>
      <c r="E131" s="43"/>
      <c r="F131" s="49"/>
      <c r="G131" s="42" t="s">
        <v>74</v>
      </c>
      <c r="H131" s="104" t="s">
        <v>22</v>
      </c>
      <c r="I131" s="118"/>
      <c r="J131" s="129"/>
      <c r="K131" s="129"/>
      <c r="L131" s="277"/>
      <c r="M131" s="275"/>
      <c r="N131" s="276"/>
      <c r="O131" s="231"/>
      <c r="P131" s="231"/>
      <c r="Q131" s="231"/>
    </row>
    <row r="132" spans="1:17" ht="14.25" customHeight="1">
      <c r="A132" s="231"/>
      <c r="B132" s="53"/>
      <c r="C132" s="49"/>
      <c r="D132" s="42"/>
      <c r="E132" s="43"/>
      <c r="F132" s="49"/>
      <c r="G132" s="42"/>
      <c r="H132" s="104"/>
      <c r="I132" s="118"/>
      <c r="J132" s="129"/>
      <c r="K132" s="129"/>
      <c r="L132" s="52"/>
      <c r="M132" s="47"/>
      <c r="N132" s="48"/>
      <c r="O132" s="231"/>
      <c r="P132" s="231"/>
      <c r="Q132" s="231"/>
    </row>
    <row r="133" spans="1:17" ht="14.25" customHeight="1">
      <c r="A133" s="232"/>
      <c r="B133" s="54"/>
      <c r="C133" s="55"/>
      <c r="D133" s="56"/>
      <c r="E133" s="57"/>
      <c r="F133" s="55"/>
      <c r="G133" s="56"/>
      <c r="H133" s="58"/>
      <c r="I133" s="119"/>
      <c r="J133" s="132"/>
      <c r="K133" s="132"/>
      <c r="L133" s="61"/>
      <c r="M133" s="62"/>
      <c r="N133" s="63"/>
      <c r="O133" s="232"/>
      <c r="P133" s="232"/>
      <c r="Q133" s="232"/>
    </row>
    <row r="134" spans="1:17" ht="14.25" customHeight="1">
      <c r="A134" s="22"/>
      <c r="B134" s="133"/>
      <c r="C134" s="134"/>
      <c r="D134" s="24"/>
      <c r="E134" s="23"/>
      <c r="F134" s="23"/>
      <c r="G134" s="24"/>
      <c r="H134" s="23"/>
      <c r="I134" s="23"/>
      <c r="J134" s="25"/>
      <c r="K134" s="25"/>
      <c r="L134" s="23"/>
      <c r="M134" s="135"/>
      <c r="N134" s="135"/>
      <c r="O134" s="23"/>
      <c r="P134" s="23"/>
      <c r="Q134" s="23"/>
    </row>
    <row r="135" spans="1:17" ht="14.25" customHeight="1">
      <c r="A135" s="222" t="s">
        <v>193</v>
      </c>
      <c r="B135" s="136"/>
      <c r="C135" s="134"/>
      <c r="D135" s="24"/>
      <c r="E135" s="23"/>
      <c r="F135" s="23"/>
      <c r="G135" s="24"/>
      <c r="H135" s="23"/>
      <c r="I135" s="23"/>
      <c r="J135" s="25"/>
      <c r="K135" s="25"/>
      <c r="L135" s="23"/>
      <c r="M135" s="135"/>
      <c r="N135" s="135"/>
      <c r="O135" s="23"/>
      <c r="P135" s="23"/>
      <c r="Q135" s="23"/>
    </row>
    <row r="136" spans="1:17" ht="14.25" customHeight="1">
      <c r="A136" s="222" t="s">
        <v>183</v>
      </c>
      <c r="B136" s="223"/>
      <c r="C136" s="134"/>
      <c r="D136" s="24"/>
      <c r="E136" s="23"/>
      <c r="F136" s="23"/>
      <c r="G136" s="24"/>
      <c r="H136" s="23"/>
      <c r="I136" s="23"/>
      <c r="J136" s="25"/>
      <c r="K136" s="25"/>
      <c r="L136" s="23"/>
      <c r="M136" s="135"/>
      <c r="N136" s="135"/>
      <c r="O136" s="23"/>
      <c r="P136" s="23"/>
      <c r="Q136" s="23"/>
    </row>
    <row r="137" spans="1:17" ht="14.25" customHeight="1">
      <c r="A137" s="22"/>
      <c r="B137" s="136"/>
      <c r="C137" s="134"/>
      <c r="D137" s="24"/>
      <c r="E137" s="23"/>
      <c r="F137" s="23"/>
      <c r="G137" s="24"/>
      <c r="H137" s="23"/>
      <c r="I137" s="23"/>
      <c r="J137" s="25"/>
      <c r="K137" s="25"/>
      <c r="L137" s="23"/>
      <c r="M137" s="135"/>
      <c r="N137" s="135"/>
      <c r="O137" s="23"/>
      <c r="P137" s="23"/>
      <c r="Q137" s="23"/>
    </row>
    <row r="138" spans="1:17" ht="14.25" customHeight="1">
      <c r="A138" s="22"/>
      <c r="B138" s="136"/>
      <c r="C138" s="134"/>
      <c r="D138" s="24"/>
      <c r="E138" s="23"/>
      <c r="F138" s="23"/>
      <c r="G138" s="24"/>
      <c r="H138" s="23"/>
      <c r="I138" s="23"/>
      <c r="J138" s="25"/>
      <c r="K138" s="25"/>
      <c r="L138" s="23"/>
      <c r="M138" s="135"/>
      <c r="N138" s="135"/>
      <c r="O138" s="23"/>
      <c r="P138" s="23"/>
      <c r="Q138" s="23"/>
    </row>
    <row r="139" spans="1:17" ht="14.25" customHeight="1">
      <c r="A139" s="22"/>
      <c r="B139" s="136"/>
      <c r="C139" s="134"/>
      <c r="D139" s="24"/>
      <c r="E139" s="23"/>
      <c r="F139" s="23"/>
      <c r="G139" s="24"/>
      <c r="H139" s="23"/>
      <c r="I139" s="23"/>
      <c r="J139" s="25"/>
      <c r="K139" s="25"/>
      <c r="L139" s="23"/>
      <c r="M139" s="135"/>
      <c r="N139" s="135"/>
      <c r="O139" s="23"/>
      <c r="P139" s="23"/>
      <c r="Q139" s="23"/>
    </row>
    <row r="140" spans="1:17" ht="14.25" customHeight="1">
      <c r="A140" s="22"/>
      <c r="B140" s="136"/>
      <c r="C140" s="134"/>
      <c r="D140" s="24"/>
      <c r="E140" s="23"/>
      <c r="F140" s="23"/>
      <c r="G140" s="24"/>
      <c r="H140" s="23"/>
      <c r="I140" s="23"/>
      <c r="J140" s="25"/>
      <c r="K140" s="25"/>
      <c r="L140" s="23"/>
      <c r="M140" s="135"/>
      <c r="N140" s="135"/>
      <c r="O140" s="23"/>
      <c r="P140" s="23"/>
      <c r="Q140" s="23"/>
    </row>
    <row r="141" spans="1:17" ht="14.25" customHeight="1">
      <c r="A141" s="22"/>
      <c r="B141" s="136"/>
      <c r="C141" s="134"/>
      <c r="D141" s="24"/>
      <c r="E141" s="23"/>
      <c r="F141" s="23"/>
      <c r="G141" s="24"/>
      <c r="H141" s="23"/>
      <c r="I141" s="23"/>
      <c r="J141" s="25"/>
      <c r="K141" s="25"/>
      <c r="L141" s="23"/>
      <c r="M141" s="135"/>
      <c r="N141" s="135"/>
      <c r="O141" s="23"/>
      <c r="P141" s="23"/>
      <c r="Q141" s="23"/>
    </row>
    <row r="142" spans="1:17" ht="14.25" customHeight="1">
      <c r="A142" s="22"/>
      <c r="B142" s="136"/>
      <c r="C142" s="134"/>
      <c r="D142" s="24"/>
      <c r="E142" s="23"/>
      <c r="F142" s="23"/>
      <c r="G142" s="24"/>
      <c r="H142" s="23"/>
      <c r="I142" s="23"/>
      <c r="J142" s="25"/>
      <c r="K142" s="25"/>
      <c r="L142" s="23"/>
      <c r="M142" s="135"/>
      <c r="N142" s="135"/>
      <c r="O142" s="23"/>
      <c r="P142" s="23"/>
      <c r="Q142" s="23"/>
    </row>
    <row r="143" spans="1:17" ht="14.25" customHeight="1">
      <c r="A143" s="22"/>
      <c r="B143" s="136"/>
      <c r="C143" s="134"/>
      <c r="D143" s="24"/>
      <c r="E143" s="23"/>
      <c r="F143" s="23"/>
      <c r="G143" s="24"/>
      <c r="H143" s="23"/>
      <c r="I143" s="23"/>
      <c r="J143" s="25"/>
      <c r="K143" s="25"/>
      <c r="L143" s="23"/>
      <c r="M143" s="135"/>
      <c r="N143" s="135"/>
      <c r="O143" s="23"/>
      <c r="P143" s="23"/>
      <c r="Q143" s="23"/>
    </row>
    <row r="144" spans="1:17" ht="14.25" customHeight="1">
      <c r="A144" s="22"/>
      <c r="B144" s="23"/>
      <c r="C144" s="23"/>
      <c r="D144" s="24"/>
      <c r="E144" s="23"/>
      <c r="F144" s="23"/>
      <c r="G144" s="24"/>
      <c r="H144" s="23"/>
      <c r="I144" s="23"/>
      <c r="J144" s="25"/>
      <c r="K144" s="25"/>
      <c r="L144" s="23"/>
      <c r="M144" s="135"/>
      <c r="N144" s="135"/>
      <c r="O144" s="23"/>
      <c r="P144" s="23"/>
      <c r="Q144" s="23"/>
    </row>
    <row r="145" spans="1:17" ht="14.25" customHeight="1">
      <c r="A145" s="22"/>
      <c r="B145" s="23"/>
      <c r="C145" s="23"/>
      <c r="D145" s="24"/>
      <c r="E145" s="23"/>
      <c r="F145" s="23"/>
      <c r="G145" s="24"/>
      <c r="H145" s="23"/>
      <c r="I145" s="23"/>
      <c r="J145" s="25"/>
      <c r="K145" s="25"/>
      <c r="L145" s="23"/>
      <c r="M145" s="135"/>
      <c r="N145" s="135"/>
      <c r="O145" s="23"/>
      <c r="P145" s="23"/>
      <c r="Q145" s="23"/>
    </row>
    <row r="146" spans="1:17" ht="14.25" customHeight="1">
      <c r="A146" s="22"/>
      <c r="B146" s="23"/>
      <c r="C146" s="23"/>
      <c r="D146" s="24"/>
      <c r="E146" s="23"/>
      <c r="F146" s="23"/>
      <c r="G146" s="24"/>
      <c r="H146" s="23"/>
      <c r="I146" s="23"/>
      <c r="J146" s="25"/>
      <c r="K146" s="25"/>
      <c r="L146" s="23"/>
      <c r="M146" s="135"/>
      <c r="N146" s="135"/>
      <c r="O146" s="23"/>
      <c r="P146" s="23"/>
      <c r="Q146" s="23"/>
    </row>
    <row r="147" spans="1:17" ht="14.25" customHeight="1">
      <c r="A147" s="22"/>
      <c r="B147" s="23"/>
      <c r="C147" s="23"/>
      <c r="D147" s="24"/>
      <c r="E147" s="23"/>
      <c r="F147" s="23"/>
      <c r="G147" s="24"/>
      <c r="H147" s="23"/>
      <c r="I147" s="23"/>
      <c r="J147" s="25"/>
      <c r="K147" s="25"/>
      <c r="L147" s="23"/>
      <c r="M147" s="135"/>
      <c r="N147" s="135"/>
      <c r="O147" s="23"/>
      <c r="P147" s="23"/>
      <c r="Q147" s="23"/>
    </row>
    <row r="148" spans="1:17" ht="14.25" customHeight="1">
      <c r="A148" s="22"/>
      <c r="B148" s="23"/>
      <c r="C148" s="23"/>
      <c r="D148" s="24"/>
      <c r="E148" s="23"/>
      <c r="F148" s="23"/>
      <c r="G148" s="24"/>
      <c r="H148" s="23"/>
      <c r="I148" s="23"/>
      <c r="J148" s="25"/>
      <c r="K148" s="25"/>
      <c r="L148" s="23"/>
      <c r="M148" s="135"/>
      <c r="N148" s="135"/>
      <c r="O148" s="23"/>
      <c r="P148" s="23"/>
      <c r="Q148" s="23"/>
    </row>
    <row r="149" spans="1:17" ht="14.25" customHeight="1">
      <c r="A149" s="22"/>
      <c r="B149" s="23"/>
      <c r="C149" s="23"/>
      <c r="D149" s="24"/>
      <c r="E149" s="23"/>
      <c r="F149" s="23"/>
      <c r="G149" s="24"/>
      <c r="H149" s="23"/>
      <c r="I149" s="23"/>
      <c r="J149" s="25"/>
      <c r="K149" s="25"/>
      <c r="L149" s="23"/>
      <c r="M149" s="135"/>
      <c r="N149" s="135"/>
      <c r="O149" s="23"/>
      <c r="P149" s="23"/>
      <c r="Q149" s="23"/>
    </row>
    <row r="150" spans="1:17" ht="14.25" customHeight="1">
      <c r="A150" s="22"/>
      <c r="B150" s="23"/>
      <c r="C150" s="23"/>
      <c r="D150" s="24"/>
      <c r="E150" s="23"/>
      <c r="F150" s="23"/>
      <c r="G150" s="24"/>
      <c r="H150" s="23"/>
      <c r="I150" s="23"/>
      <c r="J150" s="25"/>
      <c r="K150" s="25"/>
      <c r="L150" s="23"/>
      <c r="M150" s="135"/>
      <c r="N150" s="135"/>
      <c r="O150" s="23"/>
      <c r="P150" s="23"/>
      <c r="Q150" s="23"/>
    </row>
    <row r="151" spans="1:17" ht="14.25" customHeight="1">
      <c r="A151" s="22"/>
      <c r="B151" s="23"/>
      <c r="C151" s="23"/>
      <c r="D151" s="24"/>
      <c r="E151" s="23"/>
      <c r="F151" s="23"/>
      <c r="G151" s="24"/>
      <c r="H151" s="23"/>
      <c r="I151" s="23"/>
      <c r="J151" s="25"/>
      <c r="K151" s="25"/>
      <c r="L151" s="23"/>
      <c r="M151" s="135"/>
      <c r="N151" s="135"/>
      <c r="O151" s="23"/>
      <c r="P151" s="23"/>
      <c r="Q151" s="23"/>
    </row>
    <row r="152" spans="1:17" ht="14.25" customHeight="1">
      <c r="A152" s="22"/>
      <c r="B152" s="23"/>
      <c r="C152" s="23"/>
      <c r="D152" s="24"/>
      <c r="E152" s="23"/>
      <c r="F152" s="23"/>
      <c r="G152" s="24"/>
      <c r="H152" s="23"/>
      <c r="I152" s="23"/>
      <c r="J152" s="25"/>
      <c r="K152" s="25"/>
      <c r="L152" s="23"/>
      <c r="M152" s="135"/>
      <c r="N152" s="135"/>
      <c r="O152" s="23"/>
      <c r="P152" s="23"/>
      <c r="Q152" s="23"/>
    </row>
    <row r="153" spans="1:17" ht="14.25" customHeight="1">
      <c r="A153" s="22"/>
      <c r="B153" s="23"/>
      <c r="C153" s="23"/>
      <c r="D153" s="24"/>
      <c r="E153" s="23"/>
      <c r="F153" s="23"/>
      <c r="G153" s="24"/>
      <c r="H153" s="23"/>
      <c r="I153" s="23"/>
      <c r="J153" s="25"/>
      <c r="K153" s="25"/>
      <c r="L153" s="23"/>
      <c r="M153" s="135"/>
      <c r="N153" s="135"/>
      <c r="O153" s="23"/>
      <c r="P153" s="23"/>
      <c r="Q153" s="23"/>
    </row>
    <row r="154" spans="1:17" ht="14.25" customHeight="1">
      <c r="A154" s="22"/>
      <c r="B154" s="23"/>
      <c r="C154" s="23"/>
      <c r="D154" s="24"/>
      <c r="E154" s="23"/>
      <c r="F154" s="23"/>
      <c r="G154" s="24"/>
      <c r="H154" s="23"/>
      <c r="I154" s="23"/>
      <c r="J154" s="25"/>
      <c r="K154" s="25"/>
      <c r="L154" s="23"/>
      <c r="M154" s="135"/>
      <c r="N154" s="135"/>
      <c r="O154" s="23"/>
      <c r="P154" s="23"/>
      <c r="Q154" s="23"/>
    </row>
    <row r="155" spans="1:17" ht="14.25" customHeight="1">
      <c r="A155" s="22"/>
      <c r="B155" s="23"/>
      <c r="C155" s="23"/>
      <c r="D155" s="24"/>
      <c r="E155" s="23"/>
      <c r="F155" s="23"/>
      <c r="G155" s="24"/>
      <c r="H155" s="23"/>
      <c r="I155" s="23"/>
      <c r="J155" s="25"/>
      <c r="K155" s="25"/>
      <c r="L155" s="23"/>
      <c r="M155" s="135"/>
      <c r="N155" s="135"/>
      <c r="O155" s="23"/>
      <c r="P155" s="23"/>
      <c r="Q155" s="23"/>
    </row>
    <row r="156" spans="1:17" ht="14.25" customHeight="1">
      <c r="A156" s="22"/>
      <c r="B156" s="23"/>
      <c r="C156" s="23"/>
      <c r="D156" s="24"/>
      <c r="E156" s="23"/>
      <c r="F156" s="23"/>
      <c r="G156" s="24"/>
      <c r="H156" s="23"/>
      <c r="I156" s="23"/>
      <c r="J156" s="25"/>
      <c r="K156" s="25"/>
      <c r="L156" s="23"/>
      <c r="M156" s="135"/>
      <c r="N156" s="135"/>
      <c r="O156" s="23"/>
      <c r="P156" s="23"/>
      <c r="Q156" s="23"/>
    </row>
    <row r="157" spans="1:17" ht="14.25" customHeight="1">
      <c r="A157" s="22"/>
      <c r="B157" s="23"/>
      <c r="C157" s="23"/>
      <c r="D157" s="24"/>
      <c r="E157" s="23"/>
      <c r="F157" s="23"/>
      <c r="G157" s="24"/>
      <c r="H157" s="23"/>
      <c r="I157" s="23"/>
      <c r="J157" s="25"/>
      <c r="K157" s="25"/>
      <c r="L157" s="23"/>
      <c r="M157" s="135"/>
      <c r="N157" s="135"/>
      <c r="O157" s="23"/>
      <c r="P157" s="23"/>
      <c r="Q157" s="23"/>
    </row>
    <row r="158" spans="1:17" ht="14.25" customHeight="1">
      <c r="A158" s="22"/>
      <c r="B158" s="23"/>
      <c r="C158" s="23"/>
      <c r="D158" s="24"/>
      <c r="E158" s="23"/>
      <c r="F158" s="23"/>
      <c r="G158" s="24"/>
      <c r="H158" s="23"/>
      <c r="I158" s="23"/>
      <c r="J158" s="25"/>
      <c r="K158" s="25"/>
      <c r="L158" s="23"/>
      <c r="M158" s="135"/>
      <c r="N158" s="135"/>
      <c r="O158" s="23"/>
      <c r="P158" s="23"/>
      <c r="Q158" s="23"/>
    </row>
    <row r="159" spans="1:17" ht="14.25" customHeight="1">
      <c r="A159" s="22"/>
      <c r="B159" s="23"/>
      <c r="C159" s="23"/>
      <c r="D159" s="24"/>
      <c r="E159" s="23"/>
      <c r="F159" s="23"/>
      <c r="G159" s="24"/>
      <c r="H159" s="23"/>
      <c r="I159" s="23"/>
      <c r="J159" s="25"/>
      <c r="K159" s="25"/>
      <c r="L159" s="23"/>
      <c r="M159" s="135"/>
      <c r="N159" s="135"/>
      <c r="O159" s="23"/>
      <c r="P159" s="23"/>
      <c r="Q159" s="23"/>
    </row>
    <row r="160" spans="1:17" ht="14.25" customHeight="1">
      <c r="A160" s="22"/>
      <c r="B160" s="23"/>
      <c r="C160" s="23"/>
      <c r="D160" s="24"/>
      <c r="E160" s="23"/>
      <c r="F160" s="23"/>
      <c r="G160" s="24"/>
      <c r="H160" s="23"/>
      <c r="I160" s="23"/>
      <c r="J160" s="25"/>
      <c r="K160" s="25"/>
      <c r="L160" s="23"/>
      <c r="M160" s="135"/>
      <c r="N160" s="135"/>
      <c r="O160" s="23"/>
      <c r="P160" s="23"/>
      <c r="Q160" s="23"/>
    </row>
    <row r="161" spans="1:17" ht="14.25" customHeight="1">
      <c r="A161" s="22"/>
      <c r="B161" s="23"/>
      <c r="C161" s="23"/>
      <c r="D161" s="24"/>
      <c r="E161" s="23"/>
      <c r="F161" s="23"/>
      <c r="G161" s="24"/>
      <c r="H161" s="23"/>
      <c r="I161" s="23"/>
      <c r="J161" s="25"/>
      <c r="K161" s="25"/>
      <c r="L161" s="23"/>
      <c r="M161" s="135"/>
      <c r="N161" s="135"/>
      <c r="O161" s="23"/>
      <c r="P161" s="23"/>
      <c r="Q161" s="23"/>
    </row>
    <row r="162" spans="1:17" ht="14.25" customHeight="1">
      <c r="A162" s="22"/>
      <c r="B162" s="23"/>
      <c r="C162" s="23"/>
      <c r="D162" s="24"/>
      <c r="E162" s="23"/>
      <c r="F162" s="23"/>
      <c r="G162" s="24"/>
      <c r="H162" s="23"/>
      <c r="I162" s="23"/>
      <c r="J162" s="25"/>
      <c r="K162" s="25"/>
      <c r="L162" s="23"/>
      <c r="M162" s="135"/>
      <c r="N162" s="135"/>
      <c r="O162" s="23"/>
      <c r="P162" s="23"/>
      <c r="Q162" s="23"/>
    </row>
    <row r="163" spans="1:17" ht="14.25" customHeight="1">
      <c r="A163" s="22"/>
      <c r="B163" s="23"/>
      <c r="C163" s="23"/>
      <c r="D163" s="24"/>
      <c r="E163" s="23"/>
      <c r="F163" s="23"/>
      <c r="G163" s="24"/>
      <c r="H163" s="23"/>
      <c r="I163" s="23"/>
      <c r="J163" s="25"/>
      <c r="K163" s="25"/>
      <c r="L163" s="23"/>
      <c r="M163" s="135"/>
      <c r="N163" s="135"/>
      <c r="O163" s="23"/>
      <c r="P163" s="23"/>
      <c r="Q163" s="23"/>
    </row>
    <row r="164" spans="1:17" ht="14.25" customHeight="1">
      <c r="A164" s="22"/>
      <c r="B164" s="23"/>
      <c r="C164" s="23"/>
      <c r="D164" s="24"/>
      <c r="E164" s="23"/>
      <c r="F164" s="23"/>
      <c r="G164" s="24"/>
      <c r="H164" s="23"/>
      <c r="I164" s="23"/>
      <c r="J164" s="25"/>
      <c r="K164" s="25"/>
      <c r="L164" s="23"/>
      <c r="M164" s="135"/>
      <c r="N164" s="135"/>
      <c r="O164" s="23"/>
      <c r="P164" s="23"/>
      <c r="Q164" s="23"/>
    </row>
    <row r="165" spans="1:17" ht="14.25" customHeight="1">
      <c r="A165" s="22"/>
      <c r="B165" s="23"/>
      <c r="C165" s="23"/>
      <c r="D165" s="24"/>
      <c r="E165" s="23"/>
      <c r="F165" s="23"/>
      <c r="G165" s="24"/>
      <c r="H165" s="23"/>
      <c r="I165" s="23"/>
      <c r="J165" s="25"/>
      <c r="K165" s="25"/>
      <c r="L165" s="23"/>
      <c r="M165" s="135"/>
      <c r="N165" s="135"/>
      <c r="O165" s="23"/>
      <c r="P165" s="23"/>
      <c r="Q165" s="23"/>
    </row>
    <row r="166" spans="1:17" ht="14.25" customHeight="1">
      <c r="A166" s="22"/>
      <c r="B166" s="23"/>
      <c r="C166" s="23"/>
      <c r="D166" s="24"/>
      <c r="E166" s="23"/>
      <c r="F166" s="23"/>
      <c r="G166" s="24"/>
      <c r="H166" s="23"/>
      <c r="I166" s="23"/>
      <c r="J166" s="25"/>
      <c r="K166" s="25"/>
      <c r="L166" s="23"/>
      <c r="M166" s="135"/>
      <c r="N166" s="135"/>
      <c r="O166" s="23"/>
      <c r="P166" s="23"/>
      <c r="Q166" s="23"/>
    </row>
    <row r="167" spans="1:17" ht="14.25" customHeight="1">
      <c r="A167" s="22"/>
      <c r="B167" s="23"/>
      <c r="C167" s="23"/>
      <c r="D167" s="24"/>
      <c r="E167" s="23"/>
      <c r="F167" s="23"/>
      <c r="G167" s="24"/>
      <c r="H167" s="23"/>
      <c r="I167" s="23"/>
      <c r="J167" s="25"/>
      <c r="K167" s="25"/>
      <c r="L167" s="23"/>
      <c r="M167" s="135"/>
      <c r="N167" s="135"/>
      <c r="O167" s="23"/>
      <c r="P167" s="23"/>
      <c r="Q167" s="23"/>
    </row>
    <row r="168" spans="1:17" ht="14.25" customHeight="1">
      <c r="A168" s="22"/>
      <c r="B168" s="23"/>
      <c r="C168" s="23"/>
      <c r="D168" s="24"/>
      <c r="E168" s="23"/>
      <c r="F168" s="23"/>
      <c r="G168" s="24"/>
      <c r="H168" s="23"/>
      <c r="I168" s="23"/>
      <c r="J168" s="25"/>
      <c r="K168" s="25"/>
      <c r="L168" s="23"/>
      <c r="M168" s="135"/>
      <c r="N168" s="135"/>
      <c r="O168" s="23"/>
      <c r="P168" s="23"/>
      <c r="Q168" s="23"/>
    </row>
    <row r="169" spans="1:17" ht="14.25" customHeight="1">
      <c r="A169" s="22"/>
      <c r="B169" s="23"/>
      <c r="C169" s="23"/>
      <c r="D169" s="24"/>
      <c r="E169" s="23"/>
      <c r="F169" s="23"/>
      <c r="G169" s="24"/>
      <c r="H169" s="23"/>
      <c r="I169" s="23"/>
      <c r="J169" s="25"/>
      <c r="K169" s="25"/>
      <c r="L169" s="23"/>
      <c r="M169" s="135"/>
      <c r="N169" s="135"/>
      <c r="O169" s="23"/>
      <c r="P169" s="23"/>
      <c r="Q169" s="23"/>
    </row>
    <row r="170" spans="1:17" ht="14.25" customHeight="1">
      <c r="A170" s="22"/>
      <c r="B170" s="23"/>
      <c r="C170" s="23"/>
      <c r="D170" s="24"/>
      <c r="E170" s="23"/>
      <c r="F170" s="23"/>
      <c r="G170" s="24"/>
      <c r="H170" s="23"/>
      <c r="I170" s="23"/>
      <c r="J170" s="25"/>
      <c r="K170" s="25"/>
      <c r="L170" s="23"/>
      <c r="M170" s="135"/>
      <c r="N170" s="135"/>
      <c r="O170" s="23"/>
      <c r="P170" s="23"/>
      <c r="Q170" s="23"/>
    </row>
    <row r="171" spans="1:17" ht="14.25" customHeight="1">
      <c r="A171" s="22"/>
      <c r="B171" s="23"/>
      <c r="C171" s="23"/>
      <c r="D171" s="24"/>
      <c r="E171" s="23"/>
      <c r="F171" s="23"/>
      <c r="G171" s="24"/>
      <c r="H171" s="23"/>
      <c r="I171" s="23"/>
      <c r="J171" s="25"/>
      <c r="K171" s="25"/>
      <c r="L171" s="23"/>
      <c r="M171" s="135"/>
      <c r="N171" s="135"/>
      <c r="O171" s="23"/>
      <c r="P171" s="23"/>
      <c r="Q171" s="23"/>
    </row>
    <row r="172" spans="1:17" ht="14.25" customHeight="1">
      <c r="A172" s="22"/>
      <c r="B172" s="23"/>
      <c r="C172" s="23"/>
      <c r="D172" s="24"/>
      <c r="E172" s="23"/>
      <c r="F172" s="23"/>
      <c r="G172" s="24"/>
      <c r="H172" s="23"/>
      <c r="I172" s="23"/>
      <c r="J172" s="25"/>
      <c r="K172" s="25"/>
      <c r="L172" s="23"/>
      <c r="M172" s="135"/>
      <c r="N172" s="135"/>
      <c r="O172" s="23"/>
      <c r="P172" s="23"/>
      <c r="Q172" s="23"/>
    </row>
    <row r="173" spans="1:17" ht="14.25" customHeight="1">
      <c r="A173" s="22"/>
      <c r="B173" s="23"/>
      <c r="C173" s="23"/>
      <c r="D173" s="24"/>
      <c r="E173" s="23"/>
      <c r="F173" s="23"/>
      <c r="G173" s="24"/>
      <c r="H173" s="23"/>
      <c r="I173" s="23"/>
      <c r="J173" s="25"/>
      <c r="K173" s="25"/>
      <c r="L173" s="23"/>
      <c r="M173" s="135"/>
      <c r="N173" s="135"/>
      <c r="O173" s="23"/>
      <c r="P173" s="23"/>
      <c r="Q173" s="23"/>
    </row>
    <row r="174" spans="1:17" ht="14.25" customHeight="1">
      <c r="A174" s="22"/>
      <c r="B174" s="23"/>
      <c r="C174" s="23"/>
      <c r="D174" s="24"/>
      <c r="E174" s="23"/>
      <c r="F174" s="23"/>
      <c r="G174" s="24"/>
      <c r="H174" s="23"/>
      <c r="I174" s="23"/>
      <c r="J174" s="25"/>
      <c r="K174" s="25"/>
      <c r="L174" s="23"/>
      <c r="M174" s="135"/>
      <c r="N174" s="135"/>
      <c r="O174" s="23"/>
      <c r="P174" s="23"/>
      <c r="Q174" s="23"/>
    </row>
    <row r="175" spans="1:17" ht="14.25" customHeight="1">
      <c r="A175" s="22"/>
      <c r="B175" s="23"/>
      <c r="C175" s="23"/>
      <c r="D175" s="24"/>
      <c r="E175" s="23"/>
      <c r="F175" s="23"/>
      <c r="G175" s="24"/>
      <c r="H175" s="23"/>
      <c r="I175" s="23"/>
      <c r="J175" s="25"/>
      <c r="K175" s="25"/>
      <c r="L175" s="23"/>
      <c r="M175" s="135"/>
      <c r="N175" s="135"/>
      <c r="O175" s="23"/>
      <c r="P175" s="23"/>
      <c r="Q175" s="23"/>
    </row>
    <row r="176" spans="1:17" ht="14.25" customHeight="1">
      <c r="A176" s="22"/>
      <c r="B176" s="23"/>
      <c r="C176" s="23"/>
      <c r="D176" s="24"/>
      <c r="E176" s="23"/>
      <c r="F176" s="23"/>
      <c r="G176" s="24"/>
      <c r="H176" s="23"/>
      <c r="I176" s="23"/>
      <c r="J176" s="25"/>
      <c r="K176" s="25"/>
      <c r="L176" s="23"/>
      <c r="M176" s="135"/>
      <c r="N176" s="135"/>
      <c r="O176" s="23"/>
      <c r="P176" s="23"/>
      <c r="Q176" s="23"/>
    </row>
    <row r="177" spans="1:17" ht="14.25" customHeight="1">
      <c r="A177" s="22"/>
      <c r="B177" s="23"/>
      <c r="C177" s="23"/>
      <c r="D177" s="24"/>
      <c r="E177" s="23"/>
      <c r="F177" s="23"/>
      <c r="G177" s="24"/>
      <c r="H177" s="23"/>
      <c r="I177" s="23"/>
      <c r="J177" s="25"/>
      <c r="K177" s="25"/>
      <c r="L177" s="23"/>
      <c r="M177" s="135"/>
      <c r="N177" s="135"/>
      <c r="O177" s="23"/>
      <c r="P177" s="23"/>
      <c r="Q177" s="23"/>
    </row>
    <row r="178" spans="1:17" ht="14.25" customHeight="1">
      <c r="A178" s="22"/>
      <c r="B178" s="23"/>
      <c r="C178" s="23"/>
      <c r="D178" s="24"/>
      <c r="E178" s="23"/>
      <c r="F178" s="23"/>
      <c r="G178" s="24"/>
      <c r="H178" s="23"/>
      <c r="I178" s="23"/>
      <c r="J178" s="25"/>
      <c r="K178" s="25"/>
      <c r="L178" s="23"/>
      <c r="M178" s="135"/>
      <c r="N178" s="135"/>
      <c r="O178" s="23"/>
      <c r="P178" s="23"/>
      <c r="Q178" s="23"/>
    </row>
    <row r="179" spans="1:17" ht="14.25" customHeight="1">
      <c r="A179" s="22"/>
      <c r="B179" s="23"/>
      <c r="C179" s="23"/>
      <c r="D179" s="24"/>
      <c r="E179" s="23"/>
      <c r="F179" s="23"/>
      <c r="G179" s="24"/>
      <c r="H179" s="23"/>
      <c r="I179" s="23"/>
      <c r="J179" s="25"/>
      <c r="K179" s="25"/>
      <c r="L179" s="23"/>
      <c r="M179" s="135"/>
      <c r="N179" s="135"/>
      <c r="O179" s="23"/>
      <c r="P179" s="23"/>
      <c r="Q179" s="23"/>
    </row>
    <row r="180" spans="1:17" ht="14.25" customHeight="1">
      <c r="A180" s="22"/>
      <c r="B180" s="23"/>
      <c r="C180" s="23"/>
      <c r="D180" s="24"/>
      <c r="E180" s="23"/>
      <c r="F180" s="23"/>
      <c r="G180" s="24"/>
      <c r="H180" s="23"/>
      <c r="I180" s="23"/>
      <c r="J180" s="25"/>
      <c r="K180" s="25"/>
      <c r="L180" s="23"/>
      <c r="M180" s="135"/>
      <c r="N180" s="135"/>
      <c r="O180" s="23"/>
      <c r="P180" s="23"/>
      <c r="Q180" s="23"/>
    </row>
    <row r="181" spans="1:17" ht="14.25" customHeight="1">
      <c r="A181" s="22"/>
      <c r="B181" s="23"/>
      <c r="C181" s="23"/>
      <c r="D181" s="24"/>
      <c r="E181" s="23"/>
      <c r="F181" s="23"/>
      <c r="G181" s="24"/>
      <c r="H181" s="23"/>
      <c r="I181" s="23"/>
      <c r="J181" s="25"/>
      <c r="K181" s="25"/>
      <c r="L181" s="23"/>
      <c r="M181" s="135"/>
      <c r="N181" s="135"/>
      <c r="O181" s="23"/>
      <c r="P181" s="23"/>
      <c r="Q181" s="23"/>
    </row>
    <row r="182" spans="1:17" ht="14.25" customHeight="1">
      <c r="A182" s="22"/>
      <c r="B182" s="23"/>
      <c r="C182" s="23"/>
      <c r="D182" s="24"/>
      <c r="E182" s="23"/>
      <c r="F182" s="23"/>
      <c r="G182" s="24"/>
      <c r="H182" s="23"/>
      <c r="I182" s="23"/>
      <c r="J182" s="25"/>
      <c r="K182" s="25"/>
      <c r="L182" s="23"/>
      <c r="M182" s="135"/>
      <c r="N182" s="135"/>
      <c r="O182" s="23"/>
      <c r="P182" s="23"/>
      <c r="Q182" s="23"/>
    </row>
    <row r="183" spans="1:17" ht="14.25" customHeight="1">
      <c r="A183" s="22"/>
      <c r="B183" s="23"/>
      <c r="C183" s="23"/>
      <c r="D183" s="24"/>
      <c r="E183" s="23"/>
      <c r="F183" s="23"/>
      <c r="G183" s="24"/>
      <c r="H183" s="23"/>
      <c r="I183" s="23"/>
      <c r="J183" s="25"/>
      <c r="K183" s="25"/>
      <c r="L183" s="23"/>
      <c r="M183" s="135"/>
      <c r="N183" s="135"/>
      <c r="O183" s="23"/>
      <c r="P183" s="23"/>
      <c r="Q183" s="23"/>
    </row>
    <row r="184" spans="1:17" ht="14.25" customHeight="1">
      <c r="A184" s="22"/>
      <c r="B184" s="23"/>
      <c r="C184" s="23"/>
      <c r="D184" s="24"/>
      <c r="E184" s="23"/>
      <c r="F184" s="23"/>
      <c r="G184" s="24"/>
      <c r="H184" s="23"/>
      <c r="I184" s="23"/>
      <c r="J184" s="25"/>
      <c r="K184" s="25"/>
      <c r="L184" s="23"/>
      <c r="M184" s="135"/>
      <c r="N184" s="135"/>
      <c r="O184" s="23"/>
      <c r="P184" s="23"/>
      <c r="Q184" s="23"/>
    </row>
    <row r="185" spans="1:17" ht="14.25" customHeight="1">
      <c r="A185" s="22"/>
      <c r="B185" s="23"/>
      <c r="C185" s="23"/>
      <c r="D185" s="24"/>
      <c r="E185" s="23"/>
      <c r="F185" s="23"/>
      <c r="G185" s="24"/>
      <c r="H185" s="23"/>
      <c r="I185" s="23"/>
      <c r="J185" s="25"/>
      <c r="K185" s="25"/>
      <c r="L185" s="23"/>
      <c r="M185" s="135"/>
      <c r="N185" s="135"/>
      <c r="O185" s="23"/>
      <c r="P185" s="23"/>
      <c r="Q185" s="23"/>
    </row>
    <row r="186" spans="1:17" ht="14.25" customHeight="1">
      <c r="A186" s="22"/>
      <c r="B186" s="23"/>
      <c r="C186" s="23"/>
      <c r="D186" s="24"/>
      <c r="E186" s="23"/>
      <c r="F186" s="23"/>
      <c r="G186" s="24"/>
      <c r="H186" s="23"/>
      <c r="I186" s="23"/>
      <c r="J186" s="25"/>
      <c r="K186" s="25"/>
      <c r="L186" s="23"/>
      <c r="M186" s="135"/>
      <c r="N186" s="135"/>
      <c r="O186" s="23"/>
      <c r="P186" s="23"/>
      <c r="Q186" s="23"/>
    </row>
    <row r="187" spans="1:17" ht="14.25" customHeight="1">
      <c r="A187" s="22"/>
      <c r="B187" s="23"/>
      <c r="C187" s="23"/>
      <c r="D187" s="24"/>
      <c r="E187" s="23"/>
      <c r="F187" s="23"/>
      <c r="G187" s="24"/>
      <c r="H187" s="23"/>
      <c r="I187" s="23"/>
      <c r="J187" s="25"/>
      <c r="K187" s="25"/>
      <c r="L187" s="23"/>
      <c r="M187" s="135"/>
      <c r="N187" s="135"/>
      <c r="O187" s="23"/>
      <c r="P187" s="23"/>
      <c r="Q187" s="23"/>
    </row>
    <row r="188" spans="1:17" ht="14.25" customHeight="1">
      <c r="A188" s="22"/>
      <c r="B188" s="23"/>
      <c r="C188" s="23"/>
      <c r="D188" s="24"/>
      <c r="E188" s="23"/>
      <c r="F188" s="23"/>
      <c r="G188" s="24"/>
      <c r="H188" s="23"/>
      <c r="I188" s="23"/>
      <c r="J188" s="25"/>
      <c r="K188" s="25"/>
      <c r="L188" s="23"/>
      <c r="M188" s="135"/>
      <c r="N188" s="135"/>
      <c r="O188" s="23"/>
      <c r="P188" s="23"/>
      <c r="Q188" s="23"/>
    </row>
    <row r="189" spans="1:17" ht="14.25" customHeight="1">
      <c r="A189" s="22"/>
      <c r="B189" s="23"/>
      <c r="C189" s="23"/>
      <c r="D189" s="24"/>
      <c r="E189" s="23"/>
      <c r="F189" s="23"/>
      <c r="G189" s="24"/>
      <c r="H189" s="23"/>
      <c r="I189" s="23"/>
      <c r="J189" s="25"/>
      <c r="K189" s="25"/>
      <c r="L189" s="23"/>
      <c r="M189" s="135"/>
      <c r="N189" s="135"/>
      <c r="O189" s="23"/>
      <c r="P189" s="23"/>
      <c r="Q189" s="23"/>
    </row>
    <row r="190" spans="1:17" ht="14.25" customHeight="1">
      <c r="A190" s="22"/>
      <c r="B190" s="23"/>
      <c r="C190" s="23"/>
      <c r="D190" s="24"/>
      <c r="E190" s="23"/>
      <c r="F190" s="23"/>
      <c r="G190" s="24"/>
      <c r="H190" s="23"/>
      <c r="I190" s="23"/>
      <c r="J190" s="25"/>
      <c r="K190" s="25"/>
      <c r="L190" s="23"/>
      <c r="M190" s="135"/>
      <c r="N190" s="135"/>
      <c r="O190" s="23"/>
      <c r="P190" s="23"/>
      <c r="Q190" s="23"/>
    </row>
    <row r="191" spans="1:17" ht="14.25" customHeight="1">
      <c r="A191" s="22"/>
      <c r="B191" s="23"/>
      <c r="C191" s="23"/>
      <c r="D191" s="24"/>
      <c r="E191" s="23"/>
      <c r="F191" s="23"/>
      <c r="G191" s="24"/>
      <c r="H191" s="23"/>
      <c r="I191" s="23"/>
      <c r="J191" s="25"/>
      <c r="K191" s="25"/>
      <c r="L191" s="23"/>
      <c r="M191" s="135"/>
      <c r="N191" s="135"/>
      <c r="O191" s="23"/>
      <c r="P191" s="23"/>
      <c r="Q191" s="23"/>
    </row>
    <row r="192" spans="1:17" ht="14.25" customHeight="1">
      <c r="A192" s="22"/>
      <c r="B192" s="23"/>
      <c r="C192" s="23"/>
      <c r="D192" s="24"/>
      <c r="E192" s="23"/>
      <c r="F192" s="23"/>
      <c r="G192" s="24"/>
      <c r="H192" s="23"/>
      <c r="I192" s="23"/>
      <c r="J192" s="25"/>
      <c r="K192" s="25"/>
      <c r="L192" s="23"/>
      <c r="M192" s="135"/>
      <c r="N192" s="135"/>
      <c r="O192" s="23"/>
      <c r="P192" s="23"/>
      <c r="Q192" s="23"/>
    </row>
    <row r="193" spans="1:17" ht="14.25" customHeight="1">
      <c r="A193" s="22"/>
      <c r="B193" s="23"/>
      <c r="C193" s="23"/>
      <c r="D193" s="24"/>
      <c r="E193" s="23"/>
      <c r="F193" s="23"/>
      <c r="G193" s="24"/>
      <c r="H193" s="23"/>
      <c r="I193" s="23"/>
      <c r="J193" s="25"/>
      <c r="K193" s="25"/>
      <c r="L193" s="23"/>
      <c r="M193" s="135"/>
      <c r="N193" s="135"/>
      <c r="O193" s="23"/>
      <c r="P193" s="23"/>
      <c r="Q193" s="23"/>
    </row>
    <row r="194" spans="1:17" ht="14.25" customHeight="1">
      <c r="A194" s="22"/>
      <c r="B194" s="23"/>
      <c r="C194" s="23"/>
      <c r="D194" s="24"/>
      <c r="E194" s="23"/>
      <c r="F194" s="23"/>
      <c r="G194" s="24"/>
      <c r="H194" s="23"/>
      <c r="I194" s="23"/>
      <c r="J194" s="25"/>
      <c r="K194" s="25"/>
      <c r="L194" s="23"/>
      <c r="M194" s="135"/>
      <c r="N194" s="135"/>
      <c r="O194" s="23"/>
      <c r="P194" s="23"/>
      <c r="Q194" s="23"/>
    </row>
    <row r="195" spans="1:17" ht="14.25" customHeight="1">
      <c r="A195" s="22"/>
      <c r="B195" s="23"/>
      <c r="C195" s="23"/>
      <c r="D195" s="24"/>
      <c r="E195" s="23"/>
      <c r="F195" s="23"/>
      <c r="G195" s="24"/>
      <c r="H195" s="23"/>
      <c r="I195" s="23"/>
      <c r="J195" s="25"/>
      <c r="K195" s="25"/>
      <c r="L195" s="23"/>
      <c r="M195" s="135"/>
      <c r="N195" s="135"/>
      <c r="O195" s="23"/>
      <c r="P195" s="23"/>
      <c r="Q195" s="23"/>
    </row>
    <row r="196" spans="1:17" ht="14.25" customHeight="1">
      <c r="A196" s="22"/>
      <c r="B196" s="23"/>
      <c r="C196" s="23"/>
      <c r="D196" s="24"/>
      <c r="E196" s="23"/>
      <c r="F196" s="23"/>
      <c r="G196" s="24"/>
      <c r="H196" s="23"/>
      <c r="I196" s="23"/>
      <c r="J196" s="25"/>
      <c r="K196" s="25"/>
      <c r="L196" s="23"/>
      <c r="M196" s="135"/>
      <c r="N196" s="135"/>
      <c r="O196" s="23"/>
      <c r="P196" s="23"/>
      <c r="Q196" s="23"/>
    </row>
    <row r="197" spans="1:17" ht="14.25" customHeight="1">
      <c r="A197" s="22"/>
      <c r="B197" s="23"/>
      <c r="C197" s="23"/>
      <c r="D197" s="24"/>
      <c r="E197" s="23"/>
      <c r="F197" s="23"/>
      <c r="G197" s="24"/>
      <c r="H197" s="23"/>
      <c r="I197" s="23"/>
      <c r="J197" s="25"/>
      <c r="K197" s="25"/>
      <c r="L197" s="23"/>
      <c r="M197" s="135"/>
      <c r="N197" s="135"/>
      <c r="O197" s="23"/>
      <c r="P197" s="23"/>
      <c r="Q197" s="23"/>
    </row>
    <row r="198" spans="1:17" ht="14.25" customHeight="1">
      <c r="A198" s="22"/>
      <c r="B198" s="23"/>
      <c r="C198" s="23"/>
      <c r="D198" s="24"/>
      <c r="E198" s="23"/>
      <c r="F198" s="23"/>
      <c r="G198" s="24"/>
      <c r="H198" s="23"/>
      <c r="I198" s="23"/>
      <c r="J198" s="25"/>
      <c r="K198" s="25"/>
      <c r="L198" s="23"/>
      <c r="M198" s="135"/>
      <c r="N198" s="135"/>
      <c r="O198" s="23"/>
      <c r="P198" s="23"/>
      <c r="Q198" s="23"/>
    </row>
    <row r="199" spans="1:17" ht="14.25" customHeight="1">
      <c r="A199" s="22"/>
      <c r="B199" s="23"/>
      <c r="C199" s="23"/>
      <c r="D199" s="24"/>
      <c r="E199" s="23"/>
      <c r="F199" s="23"/>
      <c r="G199" s="24"/>
      <c r="H199" s="23"/>
      <c r="I199" s="23"/>
      <c r="J199" s="25"/>
      <c r="K199" s="25"/>
      <c r="L199" s="23"/>
      <c r="M199" s="135"/>
      <c r="N199" s="135"/>
      <c r="O199" s="23"/>
      <c r="P199" s="23"/>
      <c r="Q199" s="23"/>
    </row>
    <row r="200" spans="1:17" ht="14.25" customHeight="1">
      <c r="A200" s="22"/>
      <c r="B200" s="23"/>
      <c r="C200" s="23"/>
      <c r="D200" s="24"/>
      <c r="E200" s="23"/>
      <c r="F200" s="23"/>
      <c r="G200" s="24"/>
      <c r="H200" s="23"/>
      <c r="I200" s="23"/>
      <c r="J200" s="25"/>
      <c r="K200" s="25"/>
      <c r="L200" s="23"/>
      <c r="M200" s="135"/>
      <c r="N200" s="135"/>
      <c r="O200" s="23"/>
      <c r="P200" s="23"/>
      <c r="Q200" s="23"/>
    </row>
    <row r="201" spans="1:17" ht="14.25" customHeight="1">
      <c r="A201" s="22"/>
      <c r="B201" s="23"/>
      <c r="C201" s="23"/>
      <c r="D201" s="24"/>
      <c r="E201" s="23"/>
      <c r="F201" s="23"/>
      <c r="G201" s="24"/>
      <c r="H201" s="23"/>
      <c r="I201" s="23"/>
      <c r="J201" s="25"/>
      <c r="K201" s="25"/>
      <c r="L201" s="23"/>
      <c r="M201" s="135"/>
      <c r="N201" s="135"/>
      <c r="O201" s="23"/>
      <c r="P201" s="23"/>
      <c r="Q201" s="23"/>
    </row>
    <row r="202" spans="1:17" ht="14.25" customHeight="1">
      <c r="A202" s="22"/>
      <c r="B202" s="23"/>
      <c r="C202" s="23"/>
      <c r="D202" s="24"/>
      <c r="E202" s="23"/>
      <c r="F202" s="23"/>
      <c r="G202" s="24"/>
      <c r="H202" s="23"/>
      <c r="I202" s="23"/>
      <c r="J202" s="25"/>
      <c r="K202" s="25"/>
      <c r="L202" s="23"/>
      <c r="M202" s="135"/>
      <c r="N202" s="135"/>
      <c r="O202" s="23"/>
      <c r="P202" s="23"/>
      <c r="Q202" s="23"/>
    </row>
    <row r="203" spans="1:17" ht="14.25" customHeight="1">
      <c r="A203" s="22"/>
      <c r="B203" s="23"/>
      <c r="C203" s="23"/>
      <c r="D203" s="24"/>
      <c r="E203" s="23"/>
      <c r="F203" s="23"/>
      <c r="G203" s="24"/>
      <c r="H203" s="23"/>
      <c r="I203" s="23"/>
      <c r="J203" s="25"/>
      <c r="K203" s="25"/>
      <c r="L203" s="23"/>
      <c r="M203" s="135"/>
      <c r="N203" s="135"/>
      <c r="O203" s="23"/>
      <c r="P203" s="23"/>
      <c r="Q203" s="23"/>
    </row>
    <row r="204" spans="1:17" ht="14.25" customHeight="1">
      <c r="A204" s="22"/>
      <c r="B204" s="23"/>
      <c r="C204" s="23"/>
      <c r="D204" s="24"/>
      <c r="E204" s="23"/>
      <c r="F204" s="23"/>
      <c r="G204" s="24"/>
      <c r="H204" s="23"/>
      <c r="I204" s="23"/>
      <c r="J204" s="25"/>
      <c r="K204" s="25"/>
      <c r="L204" s="23"/>
      <c r="M204" s="135"/>
      <c r="N204" s="135"/>
      <c r="O204" s="23"/>
      <c r="P204" s="23"/>
      <c r="Q204" s="23"/>
    </row>
    <row r="205" spans="1:17" ht="14.25" customHeight="1">
      <c r="A205" s="22"/>
      <c r="B205" s="23"/>
      <c r="C205" s="23"/>
      <c r="D205" s="24"/>
      <c r="E205" s="23"/>
      <c r="F205" s="23"/>
      <c r="G205" s="24"/>
      <c r="H205" s="23"/>
      <c r="I205" s="23"/>
      <c r="J205" s="25"/>
      <c r="K205" s="25"/>
      <c r="L205" s="23"/>
      <c r="M205" s="135"/>
      <c r="N205" s="135"/>
      <c r="O205" s="23"/>
      <c r="P205" s="23"/>
      <c r="Q205" s="23"/>
    </row>
    <row r="206" spans="1:17" ht="14.25" customHeight="1">
      <c r="A206" s="22"/>
      <c r="B206" s="23"/>
      <c r="C206" s="23"/>
      <c r="D206" s="24"/>
      <c r="E206" s="23"/>
      <c r="F206" s="23"/>
      <c r="G206" s="24"/>
      <c r="H206" s="23"/>
      <c r="I206" s="23"/>
      <c r="J206" s="25"/>
      <c r="K206" s="25"/>
      <c r="L206" s="23"/>
      <c r="M206" s="135"/>
      <c r="N206" s="135"/>
      <c r="O206" s="23"/>
      <c r="P206" s="23"/>
      <c r="Q206" s="23"/>
    </row>
    <row r="207" spans="1:17" ht="14.25" customHeight="1">
      <c r="A207" s="22"/>
      <c r="B207" s="23"/>
      <c r="C207" s="23"/>
      <c r="D207" s="24"/>
      <c r="E207" s="23"/>
      <c r="F207" s="23"/>
      <c r="G207" s="24"/>
      <c r="H207" s="23"/>
      <c r="I207" s="23"/>
      <c r="J207" s="25"/>
      <c r="K207" s="25"/>
      <c r="L207" s="23"/>
      <c r="M207" s="135"/>
      <c r="N207" s="135"/>
      <c r="O207" s="23"/>
      <c r="P207" s="23"/>
      <c r="Q207" s="23"/>
    </row>
    <row r="208" spans="1:17" ht="14.25" customHeight="1">
      <c r="A208" s="22"/>
      <c r="B208" s="23"/>
      <c r="C208" s="23"/>
      <c r="D208" s="24"/>
      <c r="E208" s="23"/>
      <c r="F208" s="23"/>
      <c r="G208" s="24"/>
      <c r="H208" s="23"/>
      <c r="I208" s="23"/>
      <c r="J208" s="25"/>
      <c r="K208" s="25"/>
      <c r="L208" s="23"/>
      <c r="M208" s="135"/>
      <c r="N208" s="135"/>
      <c r="O208" s="23"/>
      <c r="P208" s="23"/>
      <c r="Q208" s="23"/>
    </row>
    <row r="209" spans="1:17" ht="14.25" customHeight="1">
      <c r="A209" s="22"/>
      <c r="B209" s="23"/>
      <c r="C209" s="23"/>
      <c r="D209" s="24"/>
      <c r="E209" s="23"/>
      <c r="F209" s="23"/>
      <c r="G209" s="24"/>
      <c r="H209" s="23"/>
      <c r="I209" s="23"/>
      <c r="J209" s="25"/>
      <c r="K209" s="25"/>
      <c r="L209" s="23"/>
      <c r="M209" s="135"/>
      <c r="N209" s="135"/>
      <c r="O209" s="23"/>
      <c r="P209" s="23"/>
      <c r="Q209" s="23"/>
    </row>
    <row r="210" spans="1:17" ht="14.25" customHeight="1">
      <c r="A210" s="22"/>
      <c r="B210" s="23"/>
      <c r="C210" s="23"/>
      <c r="D210" s="24"/>
      <c r="E210" s="23"/>
      <c r="F210" s="23"/>
      <c r="G210" s="24"/>
      <c r="H210" s="23"/>
      <c r="I210" s="23"/>
      <c r="J210" s="25"/>
      <c r="K210" s="25"/>
      <c r="L210" s="23"/>
      <c r="M210" s="135"/>
      <c r="N210" s="135"/>
      <c r="O210" s="23"/>
      <c r="P210" s="23"/>
      <c r="Q210" s="23"/>
    </row>
    <row r="211" spans="1:17" ht="14.25" customHeight="1">
      <c r="A211" s="22"/>
      <c r="B211" s="23"/>
      <c r="C211" s="23"/>
      <c r="D211" s="24"/>
      <c r="E211" s="23"/>
      <c r="F211" s="23"/>
      <c r="G211" s="24"/>
      <c r="H211" s="23"/>
      <c r="I211" s="23"/>
      <c r="J211" s="25"/>
      <c r="K211" s="25"/>
      <c r="L211" s="23"/>
      <c r="M211" s="135"/>
      <c r="N211" s="135"/>
      <c r="O211" s="23"/>
      <c r="P211" s="23"/>
      <c r="Q211" s="23"/>
    </row>
    <row r="212" spans="1:17" ht="14.25" customHeight="1">
      <c r="A212" s="22"/>
      <c r="B212" s="23"/>
      <c r="C212" s="23"/>
      <c r="D212" s="24"/>
      <c r="E212" s="23"/>
      <c r="F212" s="23"/>
      <c r="G212" s="24"/>
      <c r="H212" s="23"/>
      <c r="I212" s="23"/>
      <c r="J212" s="25"/>
      <c r="K212" s="25"/>
      <c r="L212" s="23"/>
      <c r="M212" s="135"/>
      <c r="N212" s="135"/>
      <c r="O212" s="23"/>
      <c r="P212" s="23"/>
      <c r="Q212" s="23"/>
    </row>
    <row r="213" spans="1:17" ht="14.25" customHeight="1">
      <c r="A213" s="22"/>
      <c r="B213" s="23"/>
      <c r="C213" s="23"/>
      <c r="D213" s="24"/>
      <c r="E213" s="23"/>
      <c r="F213" s="23"/>
      <c r="G213" s="24"/>
      <c r="H213" s="23"/>
      <c r="I213" s="23"/>
      <c r="J213" s="25"/>
      <c r="K213" s="25"/>
      <c r="L213" s="23"/>
      <c r="M213" s="135"/>
      <c r="N213" s="135"/>
      <c r="O213" s="23"/>
      <c r="P213" s="23"/>
      <c r="Q213" s="23"/>
    </row>
    <row r="214" spans="1:17" ht="14.25" customHeight="1">
      <c r="A214" s="22"/>
      <c r="B214" s="23"/>
      <c r="C214" s="23"/>
      <c r="D214" s="24"/>
      <c r="E214" s="23"/>
      <c r="F214" s="23"/>
      <c r="G214" s="24"/>
      <c r="H214" s="23"/>
      <c r="I214" s="23"/>
      <c r="J214" s="25"/>
      <c r="K214" s="25"/>
      <c r="L214" s="23"/>
      <c r="M214" s="135"/>
      <c r="N214" s="135"/>
      <c r="O214" s="23"/>
      <c r="P214" s="23"/>
      <c r="Q214" s="23"/>
    </row>
    <row r="215" spans="1:17" ht="14.25" customHeight="1">
      <c r="A215" s="22"/>
      <c r="B215" s="23"/>
      <c r="C215" s="23"/>
      <c r="D215" s="24"/>
      <c r="E215" s="23"/>
      <c r="F215" s="23"/>
      <c r="G215" s="24"/>
      <c r="H215" s="23"/>
      <c r="I215" s="23"/>
      <c r="J215" s="25"/>
      <c r="K215" s="25"/>
      <c r="L215" s="23"/>
      <c r="M215" s="135"/>
      <c r="N215" s="135"/>
      <c r="O215" s="23"/>
      <c r="P215" s="23"/>
      <c r="Q215" s="23"/>
    </row>
    <row r="216" spans="1:17" ht="14.25" customHeight="1">
      <c r="A216" s="22"/>
      <c r="B216" s="23"/>
      <c r="C216" s="23"/>
      <c r="D216" s="24"/>
      <c r="E216" s="23"/>
      <c r="F216" s="23"/>
      <c r="G216" s="24"/>
      <c r="H216" s="23"/>
      <c r="I216" s="23"/>
      <c r="J216" s="25"/>
      <c r="K216" s="25"/>
      <c r="L216" s="23"/>
      <c r="M216" s="135"/>
      <c r="N216" s="135"/>
      <c r="O216" s="23"/>
      <c r="P216" s="23"/>
      <c r="Q216" s="23"/>
    </row>
    <row r="217" spans="1:17" ht="14.25" customHeight="1">
      <c r="A217" s="22"/>
      <c r="B217" s="23"/>
      <c r="C217" s="23"/>
      <c r="D217" s="24"/>
      <c r="E217" s="23"/>
      <c r="F217" s="23"/>
      <c r="G217" s="24"/>
      <c r="H217" s="23"/>
      <c r="I217" s="23"/>
      <c r="J217" s="25"/>
      <c r="K217" s="25"/>
      <c r="L217" s="23"/>
      <c r="M217" s="135"/>
      <c r="N217" s="135"/>
      <c r="O217" s="23"/>
      <c r="P217" s="23"/>
      <c r="Q217" s="23"/>
    </row>
    <row r="218" spans="1:17" ht="14.25" customHeight="1">
      <c r="A218" s="22"/>
      <c r="B218" s="23"/>
      <c r="C218" s="23"/>
      <c r="D218" s="24"/>
      <c r="E218" s="23"/>
      <c r="F218" s="23"/>
      <c r="G218" s="24"/>
      <c r="H218" s="23"/>
      <c r="I218" s="23"/>
      <c r="J218" s="25"/>
      <c r="K218" s="25"/>
      <c r="L218" s="23"/>
      <c r="M218" s="135"/>
      <c r="N218" s="135"/>
      <c r="O218" s="23"/>
      <c r="P218" s="23"/>
      <c r="Q218" s="23"/>
    </row>
    <row r="219" spans="1:17" ht="14.25" customHeight="1">
      <c r="A219" s="22"/>
      <c r="B219" s="23"/>
      <c r="C219" s="23"/>
      <c r="D219" s="24"/>
      <c r="E219" s="23"/>
      <c r="F219" s="23"/>
      <c r="G219" s="24"/>
      <c r="H219" s="23"/>
      <c r="I219" s="23"/>
      <c r="J219" s="25"/>
      <c r="K219" s="25"/>
      <c r="L219" s="23"/>
      <c r="M219" s="135"/>
      <c r="N219" s="135"/>
      <c r="O219" s="23"/>
      <c r="P219" s="23"/>
      <c r="Q219" s="23"/>
    </row>
    <row r="220" spans="1:17" ht="14.25" customHeight="1">
      <c r="A220" s="22"/>
      <c r="B220" s="23"/>
      <c r="C220" s="23"/>
      <c r="D220" s="24"/>
      <c r="E220" s="23"/>
      <c r="F220" s="23"/>
      <c r="G220" s="24"/>
      <c r="H220" s="23"/>
      <c r="I220" s="23"/>
      <c r="J220" s="25"/>
      <c r="K220" s="25"/>
      <c r="L220" s="23"/>
      <c r="M220" s="135"/>
      <c r="N220" s="135"/>
      <c r="O220" s="23"/>
      <c r="P220" s="23"/>
      <c r="Q220" s="23"/>
    </row>
    <row r="221" spans="1:17" ht="14.25" customHeight="1">
      <c r="A221" s="22"/>
      <c r="B221" s="23"/>
      <c r="C221" s="23"/>
      <c r="D221" s="24"/>
      <c r="E221" s="23"/>
      <c r="F221" s="23"/>
      <c r="G221" s="24"/>
      <c r="H221" s="23"/>
      <c r="I221" s="23"/>
      <c r="J221" s="25"/>
      <c r="K221" s="25"/>
      <c r="L221" s="23"/>
      <c r="M221" s="135"/>
      <c r="N221" s="135"/>
      <c r="O221" s="23"/>
      <c r="P221" s="23"/>
      <c r="Q221" s="23"/>
    </row>
    <row r="222" spans="1:17" ht="14.25" customHeight="1">
      <c r="A222" s="22"/>
      <c r="B222" s="23"/>
      <c r="C222" s="23"/>
      <c r="D222" s="24"/>
      <c r="E222" s="23"/>
      <c r="F222" s="23"/>
      <c r="G222" s="24"/>
      <c r="H222" s="23"/>
      <c r="I222" s="23"/>
      <c r="J222" s="25"/>
      <c r="K222" s="25"/>
      <c r="L222" s="23"/>
      <c r="M222" s="135"/>
      <c r="N222" s="135"/>
      <c r="O222" s="23"/>
      <c r="P222" s="23"/>
      <c r="Q222" s="23"/>
    </row>
    <row r="223" spans="1:17" ht="14.25" customHeight="1">
      <c r="A223" s="22"/>
      <c r="B223" s="23"/>
      <c r="C223" s="23"/>
      <c r="D223" s="24"/>
      <c r="E223" s="23"/>
      <c r="F223" s="23"/>
      <c r="G223" s="24"/>
      <c r="H223" s="23"/>
      <c r="I223" s="23"/>
      <c r="J223" s="25"/>
      <c r="K223" s="25"/>
      <c r="L223" s="23"/>
      <c r="M223" s="135"/>
      <c r="N223" s="135"/>
      <c r="O223" s="23"/>
      <c r="P223" s="23"/>
      <c r="Q223" s="23"/>
    </row>
    <row r="224" spans="1:17" ht="14.25" customHeight="1">
      <c r="A224" s="22"/>
      <c r="B224" s="23"/>
      <c r="C224" s="23"/>
      <c r="D224" s="24"/>
      <c r="E224" s="23"/>
      <c r="F224" s="23"/>
      <c r="G224" s="24"/>
      <c r="H224" s="23"/>
      <c r="I224" s="23"/>
      <c r="J224" s="25"/>
      <c r="K224" s="25"/>
      <c r="L224" s="23"/>
      <c r="M224" s="135"/>
      <c r="N224" s="135"/>
      <c r="O224" s="23"/>
      <c r="P224" s="23"/>
      <c r="Q224" s="23"/>
    </row>
    <row r="225" spans="1:17" ht="14.25" customHeight="1">
      <c r="A225" s="22"/>
      <c r="B225" s="23"/>
      <c r="C225" s="23"/>
      <c r="D225" s="24"/>
      <c r="E225" s="23"/>
      <c r="F225" s="23"/>
      <c r="G225" s="24"/>
      <c r="H225" s="23"/>
      <c r="I225" s="23"/>
      <c r="J225" s="25"/>
      <c r="K225" s="25"/>
      <c r="L225" s="23"/>
      <c r="M225" s="135"/>
      <c r="N225" s="135"/>
      <c r="O225" s="23"/>
      <c r="P225" s="23"/>
      <c r="Q225" s="23"/>
    </row>
    <row r="226" spans="1:17" ht="14.25" customHeight="1">
      <c r="A226" s="22"/>
      <c r="B226" s="23"/>
      <c r="C226" s="23"/>
      <c r="D226" s="24"/>
      <c r="E226" s="23"/>
      <c r="F226" s="23"/>
      <c r="G226" s="24"/>
      <c r="H226" s="23"/>
      <c r="I226" s="23"/>
      <c r="J226" s="25"/>
      <c r="K226" s="25"/>
      <c r="L226" s="23"/>
      <c r="M226" s="135"/>
      <c r="N226" s="135"/>
      <c r="O226" s="23"/>
      <c r="P226" s="23"/>
      <c r="Q226" s="23"/>
    </row>
    <row r="227" spans="1:17" ht="14.25" customHeight="1">
      <c r="A227" s="22"/>
      <c r="B227" s="23"/>
      <c r="C227" s="23"/>
      <c r="D227" s="24"/>
      <c r="E227" s="23"/>
      <c r="F227" s="23"/>
      <c r="G227" s="24"/>
      <c r="H227" s="23"/>
      <c r="I227" s="23"/>
      <c r="J227" s="25"/>
      <c r="K227" s="25"/>
      <c r="L227" s="23"/>
      <c r="M227" s="135"/>
      <c r="N227" s="135"/>
      <c r="O227" s="23"/>
      <c r="P227" s="23"/>
      <c r="Q227" s="23"/>
    </row>
    <row r="228" spans="1:17" ht="14.25" customHeight="1">
      <c r="A228" s="22"/>
      <c r="B228" s="23"/>
      <c r="C228" s="23"/>
      <c r="D228" s="24"/>
      <c r="E228" s="23"/>
      <c r="F228" s="23"/>
      <c r="G228" s="24"/>
      <c r="H228" s="23"/>
      <c r="I228" s="23"/>
      <c r="J228" s="25"/>
      <c r="K228" s="25"/>
      <c r="L228" s="23"/>
      <c r="M228" s="135"/>
      <c r="N228" s="135"/>
      <c r="O228" s="23"/>
      <c r="P228" s="23"/>
      <c r="Q228" s="23"/>
    </row>
    <row r="229" spans="1:17" ht="14.25" customHeight="1">
      <c r="A229" s="22"/>
      <c r="B229" s="23"/>
      <c r="C229" s="23"/>
      <c r="D229" s="24"/>
      <c r="E229" s="23"/>
      <c r="F229" s="23"/>
      <c r="G229" s="24"/>
      <c r="H229" s="23"/>
      <c r="I229" s="23"/>
      <c r="J229" s="25"/>
      <c r="K229" s="25"/>
      <c r="L229" s="23"/>
      <c r="M229" s="135"/>
      <c r="N229" s="135"/>
      <c r="O229" s="23"/>
      <c r="P229" s="23"/>
      <c r="Q229" s="23"/>
    </row>
    <row r="230" spans="1:17" ht="14.25" customHeight="1">
      <c r="A230" s="22"/>
      <c r="B230" s="23"/>
      <c r="C230" s="23"/>
      <c r="D230" s="24"/>
      <c r="E230" s="23"/>
      <c r="F230" s="23"/>
      <c r="G230" s="24"/>
      <c r="H230" s="23"/>
      <c r="I230" s="23"/>
      <c r="J230" s="25"/>
      <c r="K230" s="25"/>
      <c r="L230" s="23"/>
      <c r="M230" s="135"/>
      <c r="N230" s="135"/>
      <c r="O230" s="23"/>
      <c r="P230" s="23"/>
      <c r="Q230" s="23"/>
    </row>
    <row r="231" spans="1:17" ht="14.25" customHeight="1">
      <c r="A231" s="22"/>
      <c r="B231" s="23"/>
      <c r="C231" s="23"/>
      <c r="D231" s="24"/>
      <c r="E231" s="23"/>
      <c r="F231" s="23"/>
      <c r="G231" s="24"/>
      <c r="H231" s="23"/>
      <c r="I231" s="23"/>
      <c r="J231" s="25"/>
      <c r="K231" s="25"/>
      <c r="L231" s="23"/>
      <c r="M231" s="135"/>
      <c r="N231" s="135"/>
      <c r="O231" s="23"/>
      <c r="P231" s="23"/>
      <c r="Q231" s="23"/>
    </row>
    <row r="232" spans="1:17" ht="14.25" customHeight="1">
      <c r="A232" s="22"/>
      <c r="B232" s="23"/>
      <c r="C232" s="23"/>
      <c r="D232" s="24"/>
      <c r="E232" s="23"/>
      <c r="F232" s="23"/>
      <c r="G232" s="24"/>
      <c r="H232" s="23"/>
      <c r="I232" s="23"/>
      <c r="J232" s="25"/>
      <c r="K232" s="25"/>
      <c r="L232" s="23"/>
      <c r="M232" s="135"/>
      <c r="N232" s="135"/>
      <c r="O232" s="23"/>
      <c r="P232" s="23"/>
      <c r="Q232" s="23"/>
    </row>
    <row r="233" spans="1:17" ht="14.25" customHeight="1">
      <c r="A233" s="22"/>
      <c r="B233" s="23"/>
      <c r="C233" s="23"/>
      <c r="D233" s="24"/>
      <c r="E233" s="23"/>
      <c r="F233" s="23"/>
      <c r="G233" s="24"/>
      <c r="H233" s="23"/>
      <c r="I233" s="23"/>
      <c r="J233" s="25"/>
      <c r="K233" s="25"/>
      <c r="L233" s="23"/>
      <c r="M233" s="135"/>
      <c r="N233" s="135"/>
      <c r="O233" s="23"/>
      <c r="P233" s="23"/>
      <c r="Q233" s="23"/>
    </row>
    <row r="234" spans="1:17" ht="14.25" customHeight="1">
      <c r="A234" s="22"/>
      <c r="B234" s="23"/>
      <c r="C234" s="23"/>
      <c r="D234" s="24"/>
      <c r="E234" s="23"/>
      <c r="F234" s="23"/>
      <c r="G234" s="24"/>
      <c r="H234" s="23"/>
      <c r="I234" s="23"/>
      <c r="J234" s="25"/>
      <c r="K234" s="25"/>
      <c r="L234" s="23"/>
      <c r="M234" s="135"/>
      <c r="N234" s="135"/>
      <c r="O234" s="23"/>
      <c r="P234" s="23"/>
      <c r="Q234" s="23"/>
    </row>
    <row r="235" spans="1:17" ht="14.25" customHeight="1">
      <c r="A235" s="22"/>
      <c r="B235" s="23"/>
      <c r="C235" s="23"/>
      <c r="D235" s="24"/>
      <c r="E235" s="23"/>
      <c r="F235" s="23"/>
      <c r="G235" s="24"/>
      <c r="H235" s="23"/>
      <c r="I235" s="23"/>
      <c r="J235" s="25"/>
      <c r="K235" s="25"/>
      <c r="L235" s="23"/>
      <c r="M235" s="135"/>
      <c r="N235" s="135"/>
      <c r="O235" s="23"/>
      <c r="P235" s="23"/>
      <c r="Q235" s="23"/>
    </row>
    <row r="236" spans="1:17" ht="14.25" customHeight="1">
      <c r="A236" s="22"/>
      <c r="B236" s="23"/>
      <c r="C236" s="23"/>
      <c r="D236" s="24"/>
      <c r="E236" s="23"/>
      <c r="F236" s="23"/>
      <c r="G236" s="24"/>
      <c r="H236" s="23"/>
      <c r="I236" s="23"/>
      <c r="J236" s="25"/>
      <c r="K236" s="25"/>
      <c r="L236" s="23"/>
      <c r="M236" s="135"/>
      <c r="N236" s="135"/>
      <c r="O236" s="23"/>
      <c r="P236" s="23"/>
      <c r="Q236" s="23"/>
    </row>
    <row r="237" spans="1:17" ht="14.25" customHeight="1">
      <c r="A237" s="22"/>
      <c r="B237" s="23"/>
      <c r="C237" s="23"/>
      <c r="D237" s="24"/>
      <c r="E237" s="23"/>
      <c r="F237" s="23"/>
      <c r="G237" s="24"/>
      <c r="H237" s="23"/>
      <c r="I237" s="23"/>
      <c r="J237" s="25"/>
      <c r="K237" s="25"/>
      <c r="L237" s="23"/>
      <c r="M237" s="135"/>
      <c r="N237" s="135"/>
      <c r="O237" s="23"/>
      <c r="P237" s="23"/>
      <c r="Q237" s="23"/>
    </row>
    <row r="238" spans="1:17" ht="14.25" customHeight="1">
      <c r="A238" s="22"/>
      <c r="B238" s="23"/>
      <c r="C238" s="23"/>
      <c r="D238" s="24"/>
      <c r="E238" s="23"/>
      <c r="F238" s="23"/>
      <c r="G238" s="24"/>
      <c r="H238" s="23"/>
      <c r="I238" s="23"/>
      <c r="J238" s="25"/>
      <c r="K238" s="25"/>
      <c r="L238" s="23"/>
      <c r="M238" s="135"/>
      <c r="N238" s="135"/>
      <c r="O238" s="23"/>
      <c r="P238" s="23"/>
      <c r="Q238" s="23"/>
    </row>
    <row r="239" spans="1:17" ht="14.25" customHeight="1">
      <c r="A239" s="22"/>
      <c r="B239" s="23"/>
      <c r="C239" s="23"/>
      <c r="D239" s="24"/>
      <c r="E239" s="23"/>
      <c r="F239" s="23"/>
      <c r="G239" s="24"/>
      <c r="H239" s="23"/>
      <c r="I239" s="23"/>
      <c r="J239" s="25"/>
      <c r="K239" s="25"/>
      <c r="L239" s="23"/>
      <c r="M239" s="135"/>
      <c r="N239" s="135"/>
      <c r="O239" s="23"/>
      <c r="P239" s="23"/>
      <c r="Q239" s="23"/>
    </row>
    <row r="240" spans="1:17" ht="14.25" customHeight="1">
      <c r="A240" s="22"/>
      <c r="B240" s="23"/>
      <c r="C240" s="23"/>
      <c r="D240" s="24"/>
      <c r="E240" s="23"/>
      <c r="F240" s="23"/>
      <c r="G240" s="24"/>
      <c r="H240" s="23"/>
      <c r="I240" s="23"/>
      <c r="J240" s="25"/>
      <c r="K240" s="25"/>
      <c r="L240" s="23"/>
      <c r="M240" s="135"/>
      <c r="N240" s="135"/>
      <c r="O240" s="23"/>
      <c r="P240" s="23"/>
      <c r="Q240" s="23"/>
    </row>
    <row r="241" spans="1:17" ht="14.25" customHeight="1">
      <c r="A241" s="22"/>
      <c r="B241" s="23"/>
      <c r="C241" s="23"/>
      <c r="D241" s="24"/>
      <c r="E241" s="23"/>
      <c r="F241" s="23"/>
      <c r="G241" s="24"/>
      <c r="H241" s="23"/>
      <c r="I241" s="23"/>
      <c r="J241" s="25"/>
      <c r="K241" s="25"/>
      <c r="L241" s="23"/>
      <c r="M241" s="135"/>
      <c r="N241" s="135"/>
      <c r="O241" s="23"/>
      <c r="P241" s="23"/>
      <c r="Q241" s="23"/>
    </row>
    <row r="242" spans="1:17" ht="14.25" customHeight="1">
      <c r="A242" s="22"/>
      <c r="B242" s="23"/>
      <c r="C242" s="23"/>
      <c r="D242" s="24"/>
      <c r="E242" s="23"/>
      <c r="F242" s="23"/>
      <c r="G242" s="24"/>
      <c r="H242" s="23"/>
      <c r="I242" s="23"/>
      <c r="J242" s="25"/>
      <c r="K242" s="25"/>
      <c r="L242" s="23"/>
      <c r="M242" s="135"/>
      <c r="N242" s="135"/>
      <c r="O242" s="23"/>
      <c r="P242" s="23"/>
      <c r="Q242" s="23"/>
    </row>
    <row r="243" spans="1:17" ht="14.25" customHeight="1">
      <c r="A243" s="22"/>
      <c r="B243" s="23"/>
      <c r="C243" s="23"/>
      <c r="D243" s="24"/>
      <c r="E243" s="23"/>
      <c r="F243" s="23"/>
      <c r="G243" s="24"/>
      <c r="H243" s="23"/>
      <c r="I243" s="23"/>
      <c r="J243" s="25"/>
      <c r="K243" s="25"/>
      <c r="L243" s="23"/>
      <c r="M243" s="135"/>
      <c r="N243" s="135"/>
      <c r="O243" s="23"/>
      <c r="P243" s="23"/>
      <c r="Q243" s="23"/>
    </row>
    <row r="244" spans="1:17" ht="14.25" customHeight="1">
      <c r="A244" s="22"/>
      <c r="B244" s="23"/>
      <c r="C244" s="23"/>
      <c r="D244" s="24"/>
      <c r="E244" s="23"/>
      <c r="F244" s="23"/>
      <c r="G244" s="24"/>
      <c r="H244" s="23"/>
      <c r="I244" s="23"/>
      <c r="J244" s="25"/>
      <c r="K244" s="25"/>
      <c r="L244" s="23"/>
      <c r="M244" s="135"/>
      <c r="N244" s="135"/>
      <c r="O244" s="23"/>
      <c r="P244" s="23"/>
      <c r="Q244" s="23"/>
    </row>
    <row r="245" spans="1:17" ht="14.25" customHeight="1">
      <c r="A245" s="22"/>
      <c r="B245" s="23"/>
      <c r="C245" s="23"/>
      <c r="D245" s="24"/>
      <c r="E245" s="23"/>
      <c r="F245" s="23"/>
      <c r="G245" s="24"/>
      <c r="H245" s="23"/>
      <c r="I245" s="23"/>
      <c r="J245" s="25"/>
      <c r="K245" s="25"/>
      <c r="L245" s="23"/>
      <c r="M245" s="135"/>
      <c r="N245" s="135"/>
      <c r="O245" s="23"/>
      <c r="P245" s="23"/>
      <c r="Q245" s="23"/>
    </row>
    <row r="246" spans="1:17" ht="14.25" customHeight="1">
      <c r="A246" s="22"/>
      <c r="B246" s="23"/>
      <c r="C246" s="23"/>
      <c r="D246" s="24"/>
      <c r="E246" s="23"/>
      <c r="F246" s="23"/>
      <c r="G246" s="24"/>
      <c r="H246" s="23"/>
      <c r="I246" s="23"/>
      <c r="J246" s="25"/>
      <c r="K246" s="25"/>
      <c r="L246" s="23"/>
      <c r="M246" s="135"/>
      <c r="N246" s="135"/>
      <c r="O246" s="23"/>
      <c r="P246" s="23"/>
      <c r="Q246" s="23"/>
    </row>
    <row r="247" spans="1:17" ht="14.25" customHeight="1">
      <c r="A247" s="22"/>
      <c r="B247" s="23"/>
      <c r="C247" s="23"/>
      <c r="D247" s="24"/>
      <c r="E247" s="23"/>
      <c r="F247" s="23"/>
      <c r="G247" s="24"/>
      <c r="H247" s="23"/>
      <c r="I247" s="23"/>
      <c r="J247" s="25"/>
      <c r="K247" s="25"/>
      <c r="L247" s="23"/>
      <c r="M247" s="135"/>
      <c r="N247" s="135"/>
      <c r="O247" s="23"/>
      <c r="P247" s="23"/>
      <c r="Q247" s="23"/>
    </row>
    <row r="248" spans="1:17" ht="14.25" customHeight="1">
      <c r="A248" s="22"/>
      <c r="B248" s="23"/>
      <c r="C248" s="23"/>
      <c r="D248" s="24"/>
      <c r="E248" s="23"/>
      <c r="F248" s="23"/>
      <c r="G248" s="24"/>
      <c r="H248" s="23"/>
      <c r="I248" s="23"/>
      <c r="J248" s="25"/>
      <c r="K248" s="25"/>
      <c r="L248" s="23"/>
      <c r="M248" s="135"/>
      <c r="N248" s="135"/>
      <c r="O248" s="23"/>
      <c r="P248" s="23"/>
      <c r="Q248" s="23"/>
    </row>
    <row r="249" spans="1:17" ht="14.25" customHeight="1">
      <c r="A249" s="22"/>
      <c r="B249" s="23"/>
      <c r="C249" s="23"/>
      <c r="D249" s="24"/>
      <c r="E249" s="23"/>
      <c r="F249" s="23"/>
      <c r="G249" s="24"/>
      <c r="H249" s="23"/>
      <c r="I249" s="23"/>
      <c r="J249" s="25"/>
      <c r="K249" s="25"/>
      <c r="L249" s="23"/>
      <c r="M249" s="135"/>
      <c r="N249" s="135"/>
      <c r="O249" s="23"/>
      <c r="P249" s="23"/>
      <c r="Q249" s="23"/>
    </row>
    <row r="250" spans="1:17" ht="14.25" customHeight="1">
      <c r="A250" s="22"/>
      <c r="B250" s="23"/>
      <c r="C250" s="23"/>
      <c r="D250" s="24"/>
      <c r="E250" s="23"/>
      <c r="F250" s="23"/>
      <c r="G250" s="24"/>
      <c r="H250" s="23"/>
      <c r="I250" s="23"/>
      <c r="J250" s="25"/>
      <c r="K250" s="25"/>
      <c r="L250" s="23"/>
      <c r="M250" s="135"/>
      <c r="N250" s="135"/>
      <c r="O250" s="23"/>
      <c r="P250" s="23"/>
      <c r="Q250" s="23"/>
    </row>
    <row r="251" spans="1:17" ht="14.25" customHeight="1">
      <c r="A251" s="22"/>
      <c r="B251" s="23"/>
      <c r="C251" s="23"/>
      <c r="D251" s="24"/>
      <c r="E251" s="23"/>
      <c r="F251" s="23"/>
      <c r="G251" s="24"/>
      <c r="H251" s="23"/>
      <c r="I251" s="23"/>
      <c r="J251" s="25"/>
      <c r="K251" s="25"/>
      <c r="L251" s="23"/>
      <c r="M251" s="135"/>
      <c r="N251" s="135"/>
      <c r="O251" s="23"/>
      <c r="P251" s="23"/>
      <c r="Q251" s="23"/>
    </row>
    <row r="252" spans="1:17" ht="14.25" customHeight="1">
      <c r="A252" s="22"/>
      <c r="B252" s="23"/>
      <c r="C252" s="23"/>
      <c r="D252" s="24"/>
      <c r="E252" s="23"/>
      <c r="F252" s="23"/>
      <c r="G252" s="24"/>
      <c r="H252" s="23"/>
      <c r="I252" s="23"/>
      <c r="J252" s="25"/>
      <c r="K252" s="25"/>
      <c r="L252" s="23"/>
      <c r="M252" s="135"/>
      <c r="N252" s="135"/>
      <c r="O252" s="23"/>
      <c r="P252" s="23"/>
      <c r="Q252" s="23"/>
    </row>
    <row r="253" spans="1:17" ht="14.25" customHeight="1">
      <c r="A253" s="22"/>
      <c r="B253" s="23"/>
      <c r="C253" s="23"/>
      <c r="D253" s="24"/>
      <c r="E253" s="23"/>
      <c r="F253" s="23"/>
      <c r="G253" s="24"/>
      <c r="H253" s="23"/>
      <c r="I253" s="23"/>
      <c r="J253" s="25"/>
      <c r="K253" s="25"/>
      <c r="L253" s="23"/>
      <c r="M253" s="135"/>
      <c r="N253" s="135"/>
      <c r="O253" s="23"/>
      <c r="P253" s="23"/>
      <c r="Q253" s="23"/>
    </row>
    <row r="254" spans="1:17" ht="14.25" customHeight="1">
      <c r="A254" s="22"/>
      <c r="B254" s="23"/>
      <c r="C254" s="23"/>
      <c r="D254" s="24"/>
      <c r="E254" s="23"/>
      <c r="F254" s="23"/>
      <c r="G254" s="24"/>
      <c r="H254" s="23"/>
      <c r="I254" s="23"/>
      <c r="J254" s="25"/>
      <c r="K254" s="25"/>
      <c r="L254" s="23"/>
      <c r="M254" s="135"/>
      <c r="N254" s="135"/>
      <c r="O254" s="23"/>
      <c r="P254" s="23"/>
      <c r="Q254" s="23"/>
    </row>
    <row r="255" spans="1:17" ht="14.25" customHeight="1">
      <c r="A255" s="22"/>
      <c r="B255" s="23"/>
      <c r="C255" s="23"/>
      <c r="D255" s="24"/>
      <c r="E255" s="23"/>
      <c r="F255" s="23"/>
      <c r="G255" s="24"/>
      <c r="H255" s="23"/>
      <c r="I255" s="23"/>
      <c r="J255" s="25"/>
      <c r="K255" s="25"/>
      <c r="L255" s="23"/>
      <c r="M255" s="135"/>
      <c r="N255" s="135"/>
      <c r="O255" s="23"/>
      <c r="P255" s="23"/>
      <c r="Q255" s="23"/>
    </row>
    <row r="256" spans="1:17" ht="14.25" customHeight="1">
      <c r="A256" s="22"/>
      <c r="B256" s="23"/>
      <c r="C256" s="23"/>
      <c r="D256" s="24"/>
      <c r="E256" s="23"/>
      <c r="F256" s="23"/>
      <c r="G256" s="24"/>
      <c r="H256" s="23"/>
      <c r="I256" s="23"/>
      <c r="J256" s="25"/>
      <c r="K256" s="25"/>
      <c r="L256" s="23"/>
      <c r="M256" s="135"/>
      <c r="N256" s="135"/>
      <c r="O256" s="23"/>
      <c r="P256" s="23"/>
      <c r="Q256" s="23"/>
    </row>
    <row r="257" spans="1:17" ht="14.25" customHeight="1">
      <c r="A257" s="22"/>
      <c r="B257" s="23"/>
      <c r="C257" s="23"/>
      <c r="D257" s="24"/>
      <c r="E257" s="23"/>
      <c r="F257" s="23"/>
      <c r="G257" s="24"/>
      <c r="H257" s="23"/>
      <c r="I257" s="23"/>
      <c r="J257" s="25"/>
      <c r="K257" s="25"/>
      <c r="L257" s="23"/>
      <c r="M257" s="135"/>
      <c r="N257" s="135"/>
      <c r="O257" s="23"/>
      <c r="P257" s="23"/>
      <c r="Q257" s="23"/>
    </row>
    <row r="258" spans="1:17" ht="14.25" customHeight="1">
      <c r="A258" s="22"/>
      <c r="B258" s="23"/>
      <c r="C258" s="23"/>
      <c r="D258" s="24"/>
      <c r="E258" s="23"/>
      <c r="F258" s="23"/>
      <c r="G258" s="24"/>
      <c r="H258" s="23"/>
      <c r="I258" s="23"/>
      <c r="J258" s="25"/>
      <c r="K258" s="25"/>
      <c r="L258" s="23"/>
      <c r="M258" s="135"/>
      <c r="N258" s="135"/>
      <c r="O258" s="23"/>
      <c r="P258" s="23"/>
      <c r="Q258" s="23"/>
    </row>
    <row r="259" spans="1:17" ht="14.25" customHeight="1">
      <c r="A259" s="22"/>
      <c r="B259" s="23"/>
      <c r="C259" s="23"/>
      <c r="D259" s="24"/>
      <c r="E259" s="23"/>
      <c r="F259" s="23"/>
      <c r="G259" s="24"/>
      <c r="H259" s="23"/>
      <c r="I259" s="23"/>
      <c r="J259" s="25"/>
      <c r="K259" s="25"/>
      <c r="L259" s="23"/>
      <c r="M259" s="135"/>
      <c r="N259" s="135"/>
      <c r="O259" s="23"/>
      <c r="P259" s="23"/>
      <c r="Q259" s="23"/>
    </row>
    <row r="260" spans="1:17" ht="14.25" customHeight="1">
      <c r="A260" s="22"/>
      <c r="B260" s="23"/>
      <c r="C260" s="23"/>
      <c r="D260" s="24"/>
      <c r="E260" s="23"/>
      <c r="F260" s="23"/>
      <c r="G260" s="24"/>
      <c r="H260" s="23"/>
      <c r="I260" s="23"/>
      <c r="J260" s="25"/>
      <c r="K260" s="25"/>
      <c r="L260" s="23"/>
      <c r="M260" s="135"/>
      <c r="N260" s="135"/>
      <c r="O260" s="23"/>
      <c r="P260" s="23"/>
      <c r="Q260" s="23"/>
    </row>
    <row r="261" spans="1:17" ht="14.25" customHeight="1">
      <c r="A261" s="22"/>
      <c r="B261" s="23"/>
      <c r="C261" s="23"/>
      <c r="D261" s="24"/>
      <c r="E261" s="23"/>
      <c r="F261" s="23"/>
      <c r="G261" s="24"/>
      <c r="H261" s="23"/>
      <c r="I261" s="23"/>
      <c r="J261" s="25"/>
      <c r="K261" s="25"/>
      <c r="L261" s="23"/>
      <c r="M261" s="135"/>
      <c r="N261" s="135"/>
      <c r="O261" s="23"/>
      <c r="P261" s="23"/>
      <c r="Q261" s="23"/>
    </row>
    <row r="262" spans="1:17" ht="14.25" customHeight="1">
      <c r="A262" s="22"/>
      <c r="B262" s="23"/>
      <c r="C262" s="23"/>
      <c r="D262" s="24"/>
      <c r="E262" s="23"/>
      <c r="F262" s="23"/>
      <c r="G262" s="24"/>
      <c r="H262" s="23"/>
      <c r="I262" s="23"/>
      <c r="J262" s="25"/>
      <c r="K262" s="25"/>
      <c r="L262" s="23"/>
      <c r="M262" s="135"/>
      <c r="N262" s="135"/>
      <c r="O262" s="23"/>
      <c r="P262" s="23"/>
      <c r="Q262" s="23"/>
    </row>
    <row r="263" spans="1:17" ht="14.25" customHeight="1">
      <c r="A263" s="22"/>
      <c r="B263" s="23"/>
      <c r="C263" s="23"/>
      <c r="D263" s="24"/>
      <c r="E263" s="23"/>
      <c r="F263" s="23"/>
      <c r="G263" s="24"/>
      <c r="H263" s="23"/>
      <c r="I263" s="23"/>
      <c r="J263" s="25"/>
      <c r="K263" s="25"/>
      <c r="L263" s="23"/>
      <c r="M263" s="135"/>
      <c r="N263" s="135"/>
      <c r="O263" s="23"/>
      <c r="P263" s="23"/>
      <c r="Q263" s="23"/>
    </row>
    <row r="264" spans="1:17" ht="14.25" customHeight="1">
      <c r="A264" s="22"/>
      <c r="B264" s="23"/>
      <c r="C264" s="23"/>
      <c r="D264" s="24"/>
      <c r="E264" s="23"/>
      <c r="F264" s="23"/>
      <c r="G264" s="24"/>
      <c r="H264" s="23"/>
      <c r="I264" s="23"/>
      <c r="J264" s="25"/>
      <c r="K264" s="25"/>
      <c r="L264" s="23"/>
      <c r="M264" s="135"/>
      <c r="N264" s="135"/>
      <c r="O264" s="23"/>
      <c r="P264" s="23"/>
      <c r="Q264" s="23"/>
    </row>
    <row r="265" spans="1:17" ht="14.25" customHeight="1">
      <c r="A265" s="22"/>
      <c r="B265" s="23"/>
      <c r="C265" s="23"/>
      <c r="D265" s="24"/>
      <c r="E265" s="23"/>
      <c r="F265" s="23"/>
      <c r="G265" s="24"/>
      <c r="H265" s="23"/>
      <c r="I265" s="23"/>
      <c r="J265" s="25"/>
      <c r="K265" s="25"/>
      <c r="L265" s="23"/>
      <c r="M265" s="135"/>
      <c r="N265" s="135"/>
      <c r="O265" s="23"/>
      <c r="P265" s="23"/>
      <c r="Q265" s="23"/>
    </row>
    <row r="266" spans="1:17" ht="14.25" customHeight="1">
      <c r="A266" s="22"/>
      <c r="B266" s="23"/>
      <c r="C266" s="23"/>
      <c r="D266" s="24"/>
      <c r="E266" s="23"/>
      <c r="F266" s="23"/>
      <c r="G266" s="24"/>
      <c r="H266" s="23"/>
      <c r="I266" s="23"/>
      <c r="J266" s="25"/>
      <c r="K266" s="25"/>
      <c r="L266" s="23"/>
      <c r="M266" s="135"/>
      <c r="N266" s="135"/>
      <c r="O266" s="23"/>
      <c r="P266" s="23"/>
      <c r="Q266" s="23"/>
    </row>
    <row r="267" spans="1:17" ht="14.25" customHeight="1">
      <c r="A267" s="22"/>
      <c r="B267" s="23"/>
      <c r="C267" s="23"/>
      <c r="D267" s="24"/>
      <c r="E267" s="23"/>
      <c r="F267" s="23"/>
      <c r="G267" s="24"/>
      <c r="H267" s="23"/>
      <c r="I267" s="23"/>
      <c r="J267" s="25"/>
      <c r="K267" s="25"/>
      <c r="L267" s="23"/>
      <c r="M267" s="135"/>
      <c r="N267" s="135"/>
      <c r="O267" s="23"/>
      <c r="P267" s="23"/>
      <c r="Q267" s="23"/>
    </row>
  </sheetData>
  <mergeCells count="179">
    <mergeCell ref="D23:E23"/>
    <mergeCell ref="G51:H51"/>
    <mergeCell ref="G50:H50"/>
    <mergeCell ref="L31:N31"/>
    <mergeCell ref="D38:E38"/>
    <mergeCell ref="G57:H57"/>
    <mergeCell ref="G58:H58"/>
    <mergeCell ref="L120:N120"/>
    <mergeCell ref="L117:N117"/>
    <mergeCell ref="G106:H106"/>
    <mergeCell ref="G107:H107"/>
    <mergeCell ref="D100:E100"/>
    <mergeCell ref="D99:E99"/>
    <mergeCell ref="D52:E52"/>
    <mergeCell ref="D53:E53"/>
    <mergeCell ref="G85:H85"/>
    <mergeCell ref="L100:N100"/>
    <mergeCell ref="L99:N99"/>
    <mergeCell ref="O99:O105"/>
    <mergeCell ref="O106:O112"/>
    <mergeCell ref="P71:P77"/>
    <mergeCell ref="O71:O77"/>
    <mergeCell ref="G128:H128"/>
    <mergeCell ref="G127:H127"/>
    <mergeCell ref="G113:H113"/>
    <mergeCell ref="G100:H100"/>
    <mergeCell ref="G93:H93"/>
    <mergeCell ref="G99:H99"/>
    <mergeCell ref="G114:H114"/>
    <mergeCell ref="G92:H92"/>
    <mergeCell ref="O92:O98"/>
    <mergeCell ref="L93:N93"/>
    <mergeCell ref="L58:N58"/>
    <mergeCell ref="L61:N61"/>
    <mergeCell ref="O57:O63"/>
    <mergeCell ref="D65:E65"/>
    <mergeCell ref="G65:H65"/>
    <mergeCell ref="L57:N57"/>
    <mergeCell ref="D57:E57"/>
    <mergeCell ref="L65:N65"/>
    <mergeCell ref="G64:H64"/>
    <mergeCell ref="P85:P91"/>
    <mergeCell ref="Q85:Q91"/>
    <mergeCell ref="Q92:Q98"/>
    <mergeCell ref="Q99:Q105"/>
    <mergeCell ref="Q106:Q112"/>
    <mergeCell ref="L89:N89"/>
    <mergeCell ref="O85:O91"/>
    <mergeCell ref="D128:E128"/>
    <mergeCell ref="L128:N128"/>
    <mergeCell ref="G120:H120"/>
    <mergeCell ref="G121:H121"/>
    <mergeCell ref="D127:E127"/>
    <mergeCell ref="L127:N127"/>
    <mergeCell ref="L114:N114"/>
    <mergeCell ref="O113:O119"/>
    <mergeCell ref="L121:N121"/>
    <mergeCell ref="L113:N113"/>
    <mergeCell ref="D120:E120"/>
    <mergeCell ref="D121:E121"/>
    <mergeCell ref="P92:P98"/>
    <mergeCell ref="P99:P105"/>
    <mergeCell ref="P106:P112"/>
    <mergeCell ref="D86:E86"/>
    <mergeCell ref="G86:H86"/>
    <mergeCell ref="O120:O126"/>
    <mergeCell ref="O127:O133"/>
    <mergeCell ref="Q127:Q133"/>
    <mergeCell ref="P120:P126"/>
    <mergeCell ref="P127:P133"/>
    <mergeCell ref="Q120:Q126"/>
    <mergeCell ref="P113:P119"/>
    <mergeCell ref="Q113:Q119"/>
    <mergeCell ref="L92:N92"/>
    <mergeCell ref="L106:N106"/>
    <mergeCell ref="L103:N103"/>
    <mergeCell ref="L107:N107"/>
    <mergeCell ref="L131:N131"/>
    <mergeCell ref="Q50:Q56"/>
    <mergeCell ref="Q57:Q63"/>
    <mergeCell ref="Q64:Q70"/>
    <mergeCell ref="O36:O42"/>
    <mergeCell ref="P36:P42"/>
    <mergeCell ref="P43:P49"/>
    <mergeCell ref="P50:P56"/>
    <mergeCell ref="P57:P63"/>
    <mergeCell ref="P64:P70"/>
    <mergeCell ref="O64:O70"/>
    <mergeCell ref="O43:O49"/>
    <mergeCell ref="O50:O56"/>
    <mergeCell ref="Q22:Q28"/>
    <mergeCell ref="L15:N15"/>
    <mergeCell ref="L16:N16"/>
    <mergeCell ref="Q15:Q21"/>
    <mergeCell ref="L43:N43"/>
    <mergeCell ref="L44:N44"/>
    <mergeCell ref="P29:P35"/>
    <mergeCell ref="O29:O35"/>
    <mergeCell ref="Q29:Q35"/>
    <mergeCell ref="Q36:Q42"/>
    <mergeCell ref="Q43:Q49"/>
    <mergeCell ref="L30:N30"/>
    <mergeCell ref="L36:N36"/>
    <mergeCell ref="L37:N37"/>
    <mergeCell ref="Q71:Q77"/>
    <mergeCell ref="P78:P84"/>
    <mergeCell ref="Q78:Q84"/>
    <mergeCell ref="L79:N79"/>
    <mergeCell ref="L78:N78"/>
    <mergeCell ref="D71:E71"/>
    <mergeCell ref="G71:H71"/>
    <mergeCell ref="L71:N71"/>
    <mergeCell ref="D72:E72"/>
    <mergeCell ref="G72:H72"/>
    <mergeCell ref="L72:N72"/>
    <mergeCell ref="G78:H78"/>
    <mergeCell ref="D79:E79"/>
    <mergeCell ref="G79:H79"/>
    <mergeCell ref="O78:O84"/>
    <mergeCell ref="D14:E14"/>
    <mergeCell ref="D114:E114"/>
    <mergeCell ref="D113:E113"/>
    <mergeCell ref="L75:N75"/>
    <mergeCell ref="L74:N74"/>
    <mergeCell ref="L29:N29"/>
    <mergeCell ref="L22:N22"/>
    <mergeCell ref="L23:N23"/>
    <mergeCell ref="L51:N51"/>
    <mergeCell ref="L64:N64"/>
    <mergeCell ref="L14:N14"/>
    <mergeCell ref="L50:N50"/>
    <mergeCell ref="G36:H36"/>
    <mergeCell ref="G44:H44"/>
    <mergeCell ref="G43:H43"/>
    <mergeCell ref="G14:H14"/>
    <mergeCell ref="G29:H29"/>
    <mergeCell ref="G30:H30"/>
    <mergeCell ref="G22:H22"/>
    <mergeCell ref="G23:H23"/>
    <mergeCell ref="G15:H15"/>
    <mergeCell ref="G16:H16"/>
    <mergeCell ref="L86:N86"/>
    <mergeCell ref="L85:N85"/>
    <mergeCell ref="A15:A21"/>
    <mergeCell ref="A22:A28"/>
    <mergeCell ref="A36:A42"/>
    <mergeCell ref="A29:A35"/>
    <mergeCell ref="D106:E106"/>
    <mergeCell ref="D107:E107"/>
    <mergeCell ref="D85:E85"/>
    <mergeCell ref="D64:E64"/>
    <mergeCell ref="D78:E78"/>
    <mergeCell ref="D93:E93"/>
    <mergeCell ref="D92:E92"/>
    <mergeCell ref="D51:E51"/>
    <mergeCell ref="D22:E22"/>
    <mergeCell ref="D36:E36"/>
    <mergeCell ref="D44:E44"/>
    <mergeCell ref="D37:E37"/>
    <mergeCell ref="D43:E43"/>
    <mergeCell ref="D15:E15"/>
    <mergeCell ref="D16:E16"/>
    <mergeCell ref="D58:E58"/>
    <mergeCell ref="D50:E50"/>
    <mergeCell ref="D30:E30"/>
    <mergeCell ref="D29:E29"/>
    <mergeCell ref="A57:A63"/>
    <mergeCell ref="A43:A49"/>
    <mergeCell ref="A50:A56"/>
    <mergeCell ref="A64:A70"/>
    <mergeCell ref="A71:A77"/>
    <mergeCell ref="A120:A126"/>
    <mergeCell ref="A127:A133"/>
    <mergeCell ref="A92:A98"/>
    <mergeCell ref="A85:A91"/>
    <mergeCell ref="A99:A105"/>
    <mergeCell ref="A106:A112"/>
    <mergeCell ref="A113:A119"/>
    <mergeCell ref="A78:A84"/>
  </mergeCells>
  <printOptions horizontalCentered="1"/>
  <pageMargins left="0.2" right="0.2" top="0.5" bottom="0.5" header="0" footer="0"/>
  <pageSetup paperSize="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267"/>
  <sheetViews>
    <sheetView showGridLines="0" tabSelected="1" topLeftCell="A77" zoomScale="90" zoomScaleNormal="90" workbookViewId="0">
      <selection activeCell="D78" sqref="D78:E78"/>
    </sheetView>
  </sheetViews>
  <sheetFormatPr defaultColWidth="14.44140625" defaultRowHeight="15" customHeight="1"/>
  <cols>
    <col min="1" max="1" width="5.109375" customWidth="1"/>
    <col min="2" max="4" width="22.6640625" customWidth="1"/>
    <col min="5" max="5" width="16.5546875" customWidth="1"/>
    <col min="6" max="6" width="22.6640625" customWidth="1"/>
    <col min="7" max="7" width="19.5546875" customWidth="1"/>
    <col min="8" max="8" width="13.5546875" customWidth="1"/>
    <col min="9" max="9" width="23.109375" customWidth="1"/>
    <col min="10" max="11" width="8.109375" hidden="1" customWidth="1"/>
    <col min="12" max="12" width="20" customWidth="1"/>
    <col min="13" max="13" width="14.44140625" hidden="1" customWidth="1"/>
    <col min="14" max="14" width="16" customWidth="1"/>
    <col min="15" max="15" width="13.109375" hidden="1" customWidth="1"/>
    <col min="16" max="16" width="13.88671875" hidden="1" customWidth="1"/>
    <col min="17" max="17" width="19.44140625" customWidth="1"/>
    <col min="18" max="37" width="8.88671875" customWidth="1"/>
  </cols>
  <sheetData>
    <row r="1" spans="1:37" ht="14.25" customHeight="1">
      <c r="A1" s="1"/>
      <c r="B1" s="2"/>
      <c r="C1" s="2"/>
      <c r="D1" s="3"/>
      <c r="E1" s="2"/>
      <c r="F1" s="2"/>
      <c r="G1" s="3"/>
      <c r="H1" s="2"/>
      <c r="I1" s="2"/>
      <c r="J1" s="4"/>
      <c r="K1" s="4"/>
      <c r="L1" s="2"/>
      <c r="M1" s="5"/>
      <c r="N1" s="5"/>
      <c r="O1" s="2"/>
      <c r="P1" s="2"/>
      <c r="Q1" s="2"/>
    </row>
    <row r="2" spans="1:37" ht="14.25" customHeight="1">
      <c r="A2" s="1"/>
      <c r="B2" s="2"/>
      <c r="C2" s="2"/>
      <c r="D2" s="3"/>
      <c r="E2" s="2"/>
      <c r="F2" s="2"/>
      <c r="G2" s="3"/>
      <c r="H2" s="2"/>
      <c r="I2" s="2"/>
      <c r="J2" s="4"/>
      <c r="K2" s="4"/>
      <c r="L2" s="2"/>
      <c r="M2" s="5"/>
      <c r="N2" s="5"/>
      <c r="O2" s="2"/>
      <c r="P2" s="2"/>
      <c r="Q2" s="2"/>
    </row>
    <row r="3" spans="1:37" ht="14.25" customHeight="1">
      <c r="A3" s="1"/>
      <c r="B3" s="2"/>
      <c r="C3" s="2"/>
      <c r="D3" s="3"/>
      <c r="E3" s="2"/>
      <c r="F3" s="2"/>
      <c r="G3" s="3"/>
      <c r="H3" s="2"/>
      <c r="I3" s="2"/>
      <c r="J3" s="4"/>
      <c r="K3" s="4"/>
      <c r="L3" s="2"/>
      <c r="M3" s="5"/>
      <c r="N3" s="5"/>
      <c r="O3" s="2"/>
      <c r="P3" s="2"/>
      <c r="Q3" s="2"/>
    </row>
    <row r="4" spans="1:37" ht="14.25" customHeight="1">
      <c r="A4" s="1"/>
      <c r="B4" s="2"/>
      <c r="C4" s="2"/>
      <c r="D4" s="3"/>
      <c r="E4" s="2"/>
      <c r="F4" s="2"/>
      <c r="G4" s="3"/>
      <c r="H4" s="2"/>
      <c r="I4" s="2"/>
      <c r="J4" s="4"/>
      <c r="K4" s="4"/>
      <c r="L4" s="2"/>
      <c r="M4" s="5"/>
      <c r="N4" s="5"/>
      <c r="O4" s="2"/>
      <c r="P4" s="2"/>
      <c r="Q4" s="2"/>
    </row>
    <row r="5" spans="1:37" ht="14.25" customHeight="1">
      <c r="A5" s="1"/>
      <c r="B5" s="2"/>
      <c r="C5" s="2"/>
      <c r="D5" s="3"/>
      <c r="E5" s="2"/>
      <c r="F5" s="2"/>
      <c r="G5" s="3"/>
      <c r="H5" s="2"/>
      <c r="I5" s="2"/>
      <c r="J5" s="4"/>
      <c r="K5" s="4"/>
      <c r="L5" s="2"/>
      <c r="M5" s="5"/>
      <c r="N5" s="5"/>
      <c r="O5" s="2"/>
      <c r="P5" s="2"/>
      <c r="Q5" s="2"/>
    </row>
    <row r="6" spans="1:37" ht="14.25" customHeight="1">
      <c r="A6" s="294"/>
      <c r="B6" s="295"/>
      <c r="C6" s="295"/>
      <c r="D6" s="296"/>
      <c r="E6" s="295"/>
      <c r="F6" s="295"/>
      <c r="G6" s="296"/>
      <c r="H6" s="295"/>
      <c r="I6" s="295"/>
      <c r="J6" s="297"/>
      <c r="K6" s="297"/>
      <c r="L6" s="295"/>
      <c r="M6" s="298"/>
      <c r="N6" s="298"/>
      <c r="O6" s="295"/>
      <c r="P6" s="295"/>
      <c r="Q6" s="295"/>
    </row>
    <row r="7" spans="1:37" ht="14.25" customHeight="1">
      <c r="A7" s="294"/>
      <c r="B7" s="295"/>
      <c r="C7" s="295"/>
      <c r="D7" s="296"/>
      <c r="E7" s="295"/>
      <c r="F7" s="295"/>
      <c r="G7" s="296"/>
      <c r="H7" s="295"/>
      <c r="I7" s="295"/>
      <c r="J7" s="297"/>
      <c r="K7" s="297"/>
      <c r="L7" s="295"/>
      <c r="M7" s="298"/>
      <c r="N7" s="298"/>
      <c r="O7" s="295"/>
      <c r="P7" s="295"/>
      <c r="Q7" s="295"/>
    </row>
    <row r="8" spans="1:37" ht="14.25" customHeight="1">
      <c r="A8" s="294"/>
      <c r="B8" s="295"/>
      <c r="C8" s="295"/>
      <c r="D8" s="296"/>
      <c r="E8" s="295"/>
      <c r="F8" s="295"/>
      <c r="G8" s="296"/>
      <c r="H8" s="295"/>
      <c r="I8" s="295"/>
      <c r="J8" s="297"/>
      <c r="K8" s="297"/>
      <c r="L8" s="295"/>
      <c r="M8" s="298"/>
      <c r="N8" s="298"/>
      <c r="O8" s="295"/>
      <c r="P8" s="295"/>
      <c r="Q8" s="295"/>
    </row>
    <row r="9" spans="1:37" ht="14.25" customHeight="1">
      <c r="A9" s="6"/>
      <c r="B9" s="7">
        <v>0.11805555555555557</v>
      </c>
      <c r="C9" s="8" t="s">
        <v>81</v>
      </c>
      <c r="D9" s="9"/>
      <c r="E9" s="10"/>
      <c r="F9" s="10"/>
      <c r="G9" s="9"/>
      <c r="H9" s="10"/>
      <c r="I9" s="11"/>
      <c r="J9" s="12"/>
      <c r="K9" s="12"/>
      <c r="L9" s="13"/>
      <c r="M9" s="14"/>
      <c r="N9" s="14"/>
      <c r="O9" s="10"/>
      <c r="P9" s="10"/>
      <c r="Q9" s="10"/>
      <c r="R9" s="15"/>
      <c r="S9" s="15"/>
      <c r="T9" s="15"/>
      <c r="U9" s="15"/>
      <c r="V9" s="15"/>
      <c r="W9" s="15"/>
      <c r="X9" s="15"/>
      <c r="Y9" s="15"/>
      <c r="Z9" s="15"/>
      <c r="AA9" s="15"/>
      <c r="AB9" s="15"/>
      <c r="AC9" s="15"/>
      <c r="AD9" s="15"/>
      <c r="AE9" s="15"/>
      <c r="AF9" s="15"/>
      <c r="AG9" s="15"/>
      <c r="AH9" s="15"/>
      <c r="AI9" s="15"/>
      <c r="AJ9" s="15"/>
      <c r="AK9" s="15"/>
    </row>
    <row r="10" spans="1:37" ht="14.25" customHeight="1">
      <c r="A10" s="6"/>
      <c r="B10" s="17">
        <v>1</v>
      </c>
      <c r="C10" s="8" t="s">
        <v>82</v>
      </c>
      <c r="D10" s="9"/>
      <c r="E10" s="10"/>
      <c r="F10" s="10"/>
      <c r="G10" s="9"/>
      <c r="H10" s="10"/>
      <c r="I10" s="11"/>
      <c r="J10" s="12"/>
      <c r="K10" s="12"/>
      <c r="L10" s="13"/>
      <c r="M10" s="14"/>
      <c r="N10" s="14"/>
      <c r="O10" s="10"/>
      <c r="P10" s="10"/>
      <c r="Q10" s="10"/>
      <c r="R10" s="15"/>
      <c r="S10" s="15"/>
      <c r="T10" s="15"/>
      <c r="U10" s="15"/>
      <c r="V10" s="15"/>
      <c r="W10" s="15"/>
      <c r="X10" s="15"/>
      <c r="Y10" s="15"/>
      <c r="Z10" s="15"/>
      <c r="AA10" s="15"/>
      <c r="AB10" s="15"/>
      <c r="AC10" s="15"/>
      <c r="AD10" s="15"/>
      <c r="AE10" s="15"/>
      <c r="AF10" s="15"/>
      <c r="AG10" s="15"/>
      <c r="AH10" s="15"/>
      <c r="AI10" s="15"/>
      <c r="AJ10" s="15"/>
      <c r="AK10" s="15"/>
    </row>
    <row r="11" spans="1:37" ht="14.25" customHeight="1">
      <c r="A11" s="6"/>
      <c r="B11" s="137"/>
      <c r="C11" s="8"/>
      <c r="D11" s="9"/>
      <c r="E11" s="10"/>
      <c r="F11" s="10"/>
      <c r="G11" s="9"/>
      <c r="H11" s="10"/>
      <c r="I11" s="11"/>
      <c r="J11" s="12"/>
      <c r="K11" s="12"/>
      <c r="L11" s="13"/>
      <c r="M11" s="14"/>
      <c r="N11" s="14"/>
      <c r="O11" s="10"/>
      <c r="P11" s="10"/>
      <c r="Q11" s="10"/>
      <c r="R11" s="15"/>
      <c r="S11" s="15"/>
      <c r="T11" s="15"/>
      <c r="U11" s="15"/>
      <c r="V11" s="15"/>
      <c r="W11" s="15"/>
      <c r="X11" s="15"/>
      <c r="Y11" s="15"/>
      <c r="Z11" s="15"/>
      <c r="AA11" s="15"/>
      <c r="AB11" s="15"/>
      <c r="AC11" s="15"/>
      <c r="AD11" s="15"/>
      <c r="AE11" s="15"/>
      <c r="AF11" s="15"/>
      <c r="AG11" s="15"/>
      <c r="AH11" s="15"/>
      <c r="AI11" s="15"/>
      <c r="AJ11" s="15"/>
      <c r="AK11" s="15"/>
    </row>
    <row r="12" spans="1:37" ht="14.25" customHeight="1">
      <c r="A12" s="6"/>
      <c r="B12" s="19">
        <f>LOOKUP("T-LF",'Pace Chart'!$E$24:$F$38)</f>
        <v>6.5393518518518517E-3</v>
      </c>
      <c r="C12" s="20" t="s">
        <v>83</v>
      </c>
      <c r="D12" s="9"/>
      <c r="E12" s="10"/>
      <c r="F12" s="10"/>
      <c r="G12" s="9"/>
      <c r="H12" s="10"/>
      <c r="I12" s="10"/>
      <c r="J12" s="12"/>
      <c r="K12" s="12"/>
      <c r="L12" s="10"/>
      <c r="M12" s="21"/>
      <c r="N12" s="21"/>
      <c r="O12" s="10"/>
      <c r="P12" s="10"/>
      <c r="Q12" s="10"/>
      <c r="R12" s="15"/>
      <c r="S12" s="15"/>
      <c r="T12" s="15"/>
      <c r="U12" s="15"/>
      <c r="V12" s="15"/>
      <c r="W12" s="15"/>
      <c r="X12" s="15"/>
      <c r="Y12" s="15"/>
      <c r="Z12" s="15"/>
      <c r="AA12" s="15"/>
      <c r="AB12" s="15"/>
      <c r="AC12" s="15"/>
      <c r="AD12" s="15"/>
      <c r="AE12" s="15"/>
      <c r="AF12" s="15"/>
      <c r="AG12" s="15"/>
      <c r="AH12" s="15"/>
      <c r="AI12" s="15"/>
      <c r="AJ12" s="15"/>
      <c r="AK12" s="15"/>
    </row>
    <row r="13" spans="1:37" ht="14.25" customHeight="1">
      <c r="A13" s="22"/>
      <c r="B13" s="23"/>
      <c r="C13" s="23"/>
      <c r="D13" s="24"/>
      <c r="E13" s="23"/>
      <c r="F13" s="23"/>
      <c r="G13" s="24"/>
      <c r="H13" s="23"/>
      <c r="I13" s="23"/>
      <c r="J13" s="25"/>
      <c r="K13" s="25"/>
      <c r="L13" s="23"/>
      <c r="M13" s="26"/>
      <c r="N13" s="26"/>
      <c r="O13" s="23"/>
      <c r="P13" s="23"/>
      <c r="Q13" s="23"/>
    </row>
    <row r="14" spans="1:37" ht="14.25" customHeight="1">
      <c r="A14" s="27" t="s">
        <v>4</v>
      </c>
      <c r="B14" s="28" t="s">
        <v>5</v>
      </c>
      <c r="C14" s="29" t="s">
        <v>6</v>
      </c>
      <c r="D14" s="244" t="s">
        <v>7</v>
      </c>
      <c r="E14" s="245"/>
      <c r="F14" s="29" t="s">
        <v>8</v>
      </c>
      <c r="G14" s="244" t="s">
        <v>9</v>
      </c>
      <c r="H14" s="245"/>
      <c r="I14" s="30" t="s">
        <v>10</v>
      </c>
      <c r="J14" s="31" t="s">
        <v>11</v>
      </c>
      <c r="K14" s="31" t="s">
        <v>12</v>
      </c>
      <c r="L14" s="244" t="s">
        <v>13</v>
      </c>
      <c r="M14" s="255"/>
      <c r="N14" s="256"/>
      <c r="O14" s="32" t="s">
        <v>14</v>
      </c>
      <c r="P14" s="32" t="s">
        <v>15</v>
      </c>
      <c r="Q14" s="32" t="s">
        <v>16</v>
      </c>
    </row>
    <row r="15" spans="1:37" ht="14.25" customHeight="1">
      <c r="A15" s="230">
        <v>1</v>
      </c>
      <c r="B15" s="33">
        <f t="shared" ref="B15:C15" si="0">C15-1</f>
        <v>45117</v>
      </c>
      <c r="C15" s="34">
        <f t="shared" si="0"/>
        <v>45118</v>
      </c>
      <c r="D15" s="237">
        <f>F15-1</f>
        <v>45119</v>
      </c>
      <c r="E15" s="238"/>
      <c r="F15" s="34">
        <f>G15-1</f>
        <v>45120</v>
      </c>
      <c r="G15" s="237">
        <f>I15-1</f>
        <v>45121</v>
      </c>
      <c r="H15" s="238"/>
      <c r="I15" s="34">
        <f>L15-1</f>
        <v>45122</v>
      </c>
      <c r="J15" s="35"/>
      <c r="K15" s="35"/>
      <c r="L15" s="237">
        <f>B22-1</f>
        <v>45123</v>
      </c>
      <c r="M15" s="252"/>
      <c r="N15" s="253"/>
      <c r="O15" s="36">
        <f>J16/0.33</f>
        <v>36.300000000000004</v>
      </c>
      <c r="P15" s="36">
        <f>K16/0.3</f>
        <v>62.113333333333358</v>
      </c>
      <c r="Q15" s="259">
        <f>(O15-P15)*(-$B$10)+O15</f>
        <v>62.113333333333358</v>
      </c>
    </row>
    <row r="16" spans="1:37" ht="15" customHeight="1">
      <c r="A16" s="231"/>
      <c r="B16" s="37" t="s">
        <v>17</v>
      </c>
      <c r="C16" s="37" t="s">
        <v>17</v>
      </c>
      <c r="D16" s="271" t="s">
        <v>29</v>
      </c>
      <c r="E16" s="287"/>
      <c r="F16" s="37" t="s">
        <v>17</v>
      </c>
      <c r="G16" s="243" t="s">
        <v>19</v>
      </c>
      <c r="H16" s="236"/>
      <c r="I16" s="37" t="s">
        <v>17</v>
      </c>
      <c r="J16" s="112">
        <f>'NYC Marathon'!J44</f>
        <v>11.979000000000001</v>
      </c>
      <c r="K16" s="113">
        <f>'NYC Marathon'!K44</f>
        <v>18.634000000000007</v>
      </c>
      <c r="L16" s="265" t="s">
        <v>20</v>
      </c>
      <c r="M16" s="247"/>
      <c r="N16" s="248"/>
      <c r="O16" s="40"/>
      <c r="P16" s="40"/>
      <c r="Q16" s="231"/>
    </row>
    <row r="17" spans="1:17" ht="15" customHeight="1">
      <c r="A17" s="231"/>
      <c r="B17" s="41">
        <f>LOOKUP("T-Lf",'Pace Chart'!$E$24:$F$38)</f>
        <v>6.5393518518518517E-3</v>
      </c>
      <c r="C17" s="41">
        <f>LOOKUP("T-Lf",'Pace Chart'!$E$24:$F$38)</f>
        <v>6.5393518518518517E-3</v>
      </c>
      <c r="D17" s="42" t="s">
        <v>30</v>
      </c>
      <c r="E17" s="43">
        <f>LOOKUP("R-5M",'Pace Chart'!$E$24:$F$38)</f>
        <v>5.0347222222222225E-3</v>
      </c>
      <c r="F17" s="41">
        <f>LOOKUP("T-Lf",'Pace Chart'!$E$24:$F$38)</f>
        <v>6.5393518518518517E-3</v>
      </c>
      <c r="G17" s="42" t="s">
        <v>21</v>
      </c>
      <c r="H17" s="43" t="s">
        <v>22</v>
      </c>
      <c r="I17" s="41">
        <f>LOOKUP("T-Lf",'Pace Chart'!$E$24:$F$38)</f>
        <v>6.5393518518518517E-3</v>
      </c>
      <c r="J17" s="44"/>
      <c r="K17" s="45"/>
      <c r="L17" s="46">
        <f>J16+(K16-J16)*'Chicago Marathon'!Distance_Pct</f>
        <v>18.634000000000007</v>
      </c>
      <c r="M17" s="47"/>
      <c r="N17" s="48">
        <f>LOOKUP("T-LS",'Pace Chart'!$E$24:$F$38)</f>
        <v>6.782407407407408E-3</v>
      </c>
      <c r="O17" s="40"/>
      <c r="P17" s="40"/>
      <c r="Q17" s="231"/>
    </row>
    <row r="18" spans="1:17" ht="15" customHeight="1">
      <c r="A18" s="231"/>
      <c r="B18" s="49" t="s">
        <v>23</v>
      </c>
      <c r="C18" s="49"/>
      <c r="D18" s="42" t="s">
        <v>24</v>
      </c>
      <c r="E18" s="43" t="s">
        <v>22</v>
      </c>
      <c r="F18" s="49"/>
      <c r="G18" s="42" t="s">
        <v>185</v>
      </c>
      <c r="H18" s="43" t="s">
        <v>26</v>
      </c>
      <c r="I18" s="49" t="s">
        <v>23</v>
      </c>
      <c r="J18" s="50"/>
      <c r="K18" s="51"/>
      <c r="L18" s="52"/>
      <c r="M18" s="47"/>
      <c r="N18" s="48"/>
      <c r="O18" s="40"/>
      <c r="P18" s="40"/>
      <c r="Q18" s="231"/>
    </row>
    <row r="19" spans="1:17" ht="15" customHeight="1">
      <c r="A19" s="231"/>
      <c r="B19" s="53" t="s">
        <v>27</v>
      </c>
      <c r="C19" s="49"/>
      <c r="D19" s="42"/>
      <c r="E19" s="43"/>
      <c r="F19" s="49"/>
      <c r="G19" s="42" t="s">
        <v>186</v>
      </c>
      <c r="H19" s="43" t="s">
        <v>22</v>
      </c>
      <c r="I19" s="49"/>
      <c r="J19" s="50"/>
      <c r="K19" s="51"/>
      <c r="L19" s="52"/>
      <c r="M19" s="47"/>
      <c r="N19" s="48"/>
      <c r="O19" s="40"/>
      <c r="P19" s="40"/>
      <c r="Q19" s="231"/>
    </row>
    <row r="20" spans="1:17" ht="15" customHeight="1">
      <c r="A20" s="231"/>
      <c r="B20" s="53"/>
      <c r="C20" s="49"/>
      <c r="D20" s="42"/>
      <c r="E20" s="43"/>
      <c r="F20" s="49"/>
      <c r="G20" s="42" t="s">
        <v>28</v>
      </c>
      <c r="H20" s="43" t="s">
        <v>22</v>
      </c>
      <c r="I20" s="49"/>
      <c r="J20" s="50"/>
      <c r="K20" s="51"/>
      <c r="L20" s="52"/>
      <c r="M20" s="47"/>
      <c r="N20" s="48"/>
      <c r="O20" s="40"/>
      <c r="P20" s="40"/>
      <c r="Q20" s="231"/>
    </row>
    <row r="21" spans="1:17" ht="15.75" customHeight="1">
      <c r="A21" s="232"/>
      <c r="B21" s="54"/>
      <c r="C21" s="55"/>
      <c r="D21" s="56"/>
      <c r="E21" s="57"/>
      <c r="F21" s="55"/>
      <c r="G21" s="56"/>
      <c r="H21" s="58"/>
      <c r="I21" s="55"/>
      <c r="J21" s="59"/>
      <c r="K21" s="60"/>
      <c r="L21" s="61"/>
      <c r="M21" s="62"/>
      <c r="N21" s="63"/>
      <c r="O21" s="64"/>
      <c r="P21" s="64"/>
      <c r="Q21" s="232"/>
    </row>
    <row r="22" spans="1:17" ht="15.75" customHeight="1">
      <c r="A22" s="230">
        <f>A15+1</f>
        <v>2</v>
      </c>
      <c r="B22" s="65">
        <f t="shared" ref="B22:C22" si="1">C22-1</f>
        <v>45124</v>
      </c>
      <c r="C22" s="66">
        <f t="shared" si="1"/>
        <v>45125</v>
      </c>
      <c r="D22" s="233">
        <f>F22-1</f>
        <v>45126</v>
      </c>
      <c r="E22" s="234"/>
      <c r="F22" s="66">
        <f>G22-1</f>
        <v>45127</v>
      </c>
      <c r="G22" s="233">
        <f>I22-1</f>
        <v>45128</v>
      </c>
      <c r="H22" s="234"/>
      <c r="I22" s="66">
        <f>L22-1</f>
        <v>45129</v>
      </c>
      <c r="J22" s="67" t="s">
        <v>11</v>
      </c>
      <c r="K22" s="68" t="s">
        <v>12</v>
      </c>
      <c r="L22" s="233">
        <f>B29-1</f>
        <v>45130</v>
      </c>
      <c r="M22" s="250"/>
      <c r="N22" s="251"/>
      <c r="O22" s="69">
        <f>J23/0.33</f>
        <v>42.424242424242422</v>
      </c>
      <c r="P22" s="69">
        <f>K23/0.3</f>
        <v>46.666666666666671</v>
      </c>
      <c r="Q22" s="260">
        <f>(O22-P22)*(-$B$10)+O22</f>
        <v>46.666666666666671</v>
      </c>
    </row>
    <row r="23" spans="1:17" ht="15" customHeight="1">
      <c r="A23" s="231"/>
      <c r="B23" s="70" t="s">
        <v>17</v>
      </c>
      <c r="C23" s="71" t="s">
        <v>17</v>
      </c>
      <c r="D23" s="235" t="s">
        <v>68</v>
      </c>
      <c r="E23" s="236"/>
      <c r="F23" s="71" t="s">
        <v>17</v>
      </c>
      <c r="G23" s="270" t="s">
        <v>19</v>
      </c>
      <c r="H23" s="236"/>
      <c r="I23" s="71" t="s">
        <v>17</v>
      </c>
      <c r="J23" s="72">
        <f>'NYC Marathon'!J51</f>
        <v>14</v>
      </c>
      <c r="K23" s="72">
        <f>'NYC Marathon'!K51</f>
        <v>14</v>
      </c>
      <c r="L23" s="254" t="s">
        <v>34</v>
      </c>
      <c r="M23" s="247"/>
      <c r="N23" s="248"/>
      <c r="O23" s="73"/>
      <c r="P23" s="73"/>
      <c r="Q23" s="231"/>
    </row>
    <row r="24" spans="1:17" ht="15" customHeight="1">
      <c r="A24" s="231"/>
      <c r="B24" s="74">
        <f>LOOKUP("T-Lf",'Pace Chart'!$E$24:$F$38)</f>
        <v>6.5393518518518517E-3</v>
      </c>
      <c r="C24" s="74">
        <f>LOOKUP("T-Lf",'Pace Chart'!$E$24:$F$38)</f>
        <v>6.5393518518518517E-3</v>
      </c>
      <c r="D24" s="105" t="s">
        <v>57</v>
      </c>
      <c r="E24" s="221">
        <f>LOOKUP("R-4M",'Pace Chart'!$E$24:$F$38)</f>
        <v>4.9537037037037041E-3</v>
      </c>
      <c r="F24" s="74">
        <f>LOOKUP("T-Lf",'Pace Chart'!$E$24:$F$38)</f>
        <v>6.5393518518518517E-3</v>
      </c>
      <c r="G24" s="77" t="s">
        <v>21</v>
      </c>
      <c r="H24" s="78" t="s">
        <v>22</v>
      </c>
      <c r="I24" s="74">
        <f>LOOKUP("T-Lf",'Pace Chart'!$E$24:$F$38)</f>
        <v>6.5393518518518517E-3</v>
      </c>
      <c r="J24" s="79"/>
      <c r="K24" s="25"/>
      <c r="L24" s="80">
        <f>J23+(K23-J23)*'Chicago Marathon'!Distance_Pct-5</f>
        <v>9</v>
      </c>
      <c r="M24" s="81"/>
      <c r="N24" s="82">
        <f>LOOKUP("T-LS",'Pace Chart'!$E$24:$F$38)</f>
        <v>6.782407407407408E-3</v>
      </c>
      <c r="O24" s="73"/>
      <c r="P24" s="73"/>
      <c r="Q24" s="231"/>
    </row>
    <row r="25" spans="1:17" ht="15" customHeight="1">
      <c r="A25" s="231"/>
      <c r="B25" s="83" t="s">
        <v>23</v>
      </c>
      <c r="C25" s="84"/>
      <c r="D25" s="105" t="s">
        <v>24</v>
      </c>
      <c r="E25" s="106" t="s">
        <v>22</v>
      </c>
      <c r="F25" s="84"/>
      <c r="G25" s="210" t="s">
        <v>31</v>
      </c>
      <c r="H25" s="78" t="s">
        <v>26</v>
      </c>
      <c r="I25" s="84" t="s">
        <v>23</v>
      </c>
      <c r="J25" s="85"/>
      <c r="K25" s="86"/>
      <c r="L25" s="87" t="s">
        <v>36</v>
      </c>
      <c r="M25" s="81"/>
      <c r="N25" s="82">
        <f>LOOKUP("R-Mar",'Pace Chart'!$E$24:$F$38)</f>
        <v>5.5555555555555558E-3</v>
      </c>
      <c r="O25" s="73"/>
      <c r="P25" s="73"/>
      <c r="Q25" s="231"/>
    </row>
    <row r="26" spans="1:17" ht="15" customHeight="1">
      <c r="A26" s="231"/>
      <c r="B26" s="88" t="s">
        <v>27</v>
      </c>
      <c r="C26" s="84"/>
      <c r="D26" s="77"/>
      <c r="E26" s="78"/>
      <c r="F26" s="84"/>
      <c r="G26" s="77" t="s">
        <v>28</v>
      </c>
      <c r="H26" s="78" t="s">
        <v>22</v>
      </c>
      <c r="I26" s="84"/>
      <c r="J26" s="85"/>
      <c r="K26" s="86"/>
      <c r="L26" s="87" t="s">
        <v>37</v>
      </c>
      <c r="M26" s="81"/>
      <c r="N26" s="82" t="s">
        <v>22</v>
      </c>
      <c r="O26" s="73"/>
      <c r="P26" s="73"/>
      <c r="Q26" s="231"/>
    </row>
    <row r="27" spans="1:17" ht="15" customHeight="1">
      <c r="A27" s="231"/>
      <c r="B27" s="89"/>
      <c r="C27" s="84"/>
      <c r="D27" s="77"/>
      <c r="E27" s="78"/>
      <c r="F27" s="84"/>
      <c r="G27" s="77"/>
      <c r="H27" s="78"/>
      <c r="I27" s="84"/>
      <c r="J27" s="85"/>
      <c r="K27" s="86"/>
      <c r="L27" s="87"/>
      <c r="M27" s="81"/>
      <c r="N27" s="82"/>
      <c r="O27" s="73"/>
      <c r="P27" s="73"/>
      <c r="Q27" s="231"/>
    </row>
    <row r="28" spans="1:17" ht="14.25" customHeight="1">
      <c r="A28" s="232"/>
      <c r="B28" s="90"/>
      <c r="C28" s="91"/>
      <c r="D28" s="92"/>
      <c r="E28" s="93"/>
      <c r="F28" s="94"/>
      <c r="G28" s="92"/>
      <c r="H28" s="93"/>
      <c r="I28" s="94"/>
      <c r="J28" s="95"/>
      <c r="K28" s="96"/>
      <c r="L28" s="97"/>
      <c r="M28" s="98"/>
      <c r="N28" s="99"/>
      <c r="O28" s="100"/>
      <c r="P28" s="100"/>
      <c r="Q28" s="232"/>
    </row>
    <row r="29" spans="1:17" ht="14.25" customHeight="1">
      <c r="A29" s="230">
        <f>A22+1</f>
        <v>3</v>
      </c>
      <c r="B29" s="33">
        <f t="shared" ref="B29:C29" si="2">C29-1</f>
        <v>45131</v>
      </c>
      <c r="C29" s="34">
        <f t="shared" si="2"/>
        <v>45132</v>
      </c>
      <c r="D29" s="237">
        <f>F29-1</f>
        <v>45133</v>
      </c>
      <c r="E29" s="238"/>
      <c r="F29" s="34">
        <f>G29-1</f>
        <v>45134</v>
      </c>
      <c r="G29" s="237">
        <f>I29-1</f>
        <v>45135</v>
      </c>
      <c r="H29" s="238"/>
      <c r="I29" s="34">
        <f>L29-1</f>
        <v>45136</v>
      </c>
      <c r="J29" s="101" t="s">
        <v>11</v>
      </c>
      <c r="K29" s="102" t="s">
        <v>12</v>
      </c>
      <c r="L29" s="237">
        <f>B36-1</f>
        <v>45137</v>
      </c>
      <c r="M29" s="252"/>
      <c r="N29" s="253"/>
      <c r="O29" s="259">
        <f>J30/0.33</f>
        <v>46.666666666666671</v>
      </c>
      <c r="P29" s="259">
        <f>K30/0.3</f>
        <v>60</v>
      </c>
      <c r="Q29" s="259">
        <f>(O29-P29)*(-$B$10)+O29</f>
        <v>60</v>
      </c>
    </row>
    <row r="30" spans="1:17" ht="15" customHeight="1">
      <c r="A30" s="231"/>
      <c r="B30" s="37" t="s">
        <v>17</v>
      </c>
      <c r="C30" s="37" t="s">
        <v>17</v>
      </c>
      <c r="D30" s="271" t="s">
        <v>32</v>
      </c>
      <c r="E30" s="287"/>
      <c r="F30" s="37" t="s">
        <v>17</v>
      </c>
      <c r="G30" s="240" t="s">
        <v>33</v>
      </c>
      <c r="H30" s="236"/>
      <c r="I30" s="37" t="s">
        <v>17</v>
      </c>
      <c r="J30" s="112">
        <f>'NYC Marathon'!J58</f>
        <v>15.400000000000002</v>
      </c>
      <c r="K30" s="113">
        <f>'NYC Marathon'!K58</f>
        <v>18</v>
      </c>
      <c r="L30" s="246" t="s">
        <v>172</v>
      </c>
      <c r="M30" s="292"/>
      <c r="N30" s="293"/>
      <c r="O30" s="231"/>
      <c r="P30" s="231"/>
      <c r="Q30" s="231"/>
    </row>
    <row r="31" spans="1:17" ht="15" customHeight="1">
      <c r="A31" s="231"/>
      <c r="B31" s="41">
        <f>LOOKUP("T-Lf",'Pace Chart'!$E$24:$F$38)</f>
        <v>6.5393518518518517E-3</v>
      </c>
      <c r="C31" s="41">
        <f>LOOKUP("T-Lf",'Pace Chart'!$E$24:$F$38)</f>
        <v>6.5393518518518517E-3</v>
      </c>
      <c r="D31" s="42" t="s">
        <v>35</v>
      </c>
      <c r="E31" s="43">
        <f>LOOKUP("R-5M",'Pace Chart'!$E$24:$F$38)</f>
        <v>5.0347222222222225E-3</v>
      </c>
      <c r="F31" s="41">
        <f>LOOKUP("T-Lf",'Pace Chart'!$E$24:$F$38)</f>
        <v>6.5393518518518517E-3</v>
      </c>
      <c r="G31" s="42"/>
      <c r="H31" s="43"/>
      <c r="I31" s="41">
        <f>LOOKUP("T-Lf",'Pace Chart'!$E$24:$F$38)</f>
        <v>6.5393518518518517E-3</v>
      </c>
      <c r="J31" s="44"/>
      <c r="K31" s="45"/>
      <c r="L31" s="280">
        <f>LOOKUP("R-5M",'Pace Chart'!$E$24:$F$38)</f>
        <v>5.0347222222222225E-3</v>
      </c>
      <c r="M31" s="281"/>
      <c r="N31" s="282"/>
      <c r="O31" s="231"/>
      <c r="P31" s="231"/>
      <c r="Q31" s="231"/>
    </row>
    <row r="32" spans="1:17" ht="15" customHeight="1">
      <c r="A32" s="231"/>
      <c r="B32" s="49" t="s">
        <v>23</v>
      </c>
      <c r="C32" s="49"/>
      <c r="D32" s="42" t="s">
        <v>24</v>
      </c>
      <c r="E32" s="43" t="s">
        <v>22</v>
      </c>
      <c r="F32" s="49"/>
      <c r="G32" s="42"/>
      <c r="H32" s="43"/>
      <c r="I32" s="49" t="s">
        <v>23</v>
      </c>
      <c r="J32" s="50"/>
      <c r="K32" s="51"/>
      <c r="L32" s="52"/>
      <c r="M32" s="47"/>
      <c r="N32" s="48"/>
      <c r="O32" s="231"/>
      <c r="P32" s="231"/>
      <c r="Q32" s="231"/>
    </row>
    <row r="33" spans="1:17" ht="15.75" customHeight="1">
      <c r="A33" s="231"/>
      <c r="B33" s="53" t="s">
        <v>27</v>
      </c>
      <c r="C33" s="49"/>
      <c r="D33" s="42"/>
      <c r="E33" s="43"/>
      <c r="F33" s="49"/>
      <c r="G33" s="42"/>
      <c r="H33" s="43"/>
      <c r="I33" s="49"/>
      <c r="J33" s="50"/>
      <c r="K33" s="51"/>
      <c r="L33" s="52"/>
      <c r="M33" s="47"/>
      <c r="N33" s="48"/>
      <c r="O33" s="231"/>
      <c r="P33" s="231"/>
      <c r="Q33" s="231"/>
    </row>
    <row r="34" spans="1:17" ht="15.75" customHeight="1">
      <c r="A34" s="231"/>
      <c r="B34" s="53"/>
      <c r="C34" s="49"/>
      <c r="D34" s="42"/>
      <c r="E34" s="43"/>
      <c r="F34" s="49"/>
      <c r="G34" s="42"/>
      <c r="H34" s="43"/>
      <c r="I34" s="49"/>
      <c r="J34" s="50"/>
      <c r="K34" s="51"/>
      <c r="L34" s="52"/>
      <c r="M34" s="47"/>
      <c r="N34" s="48"/>
      <c r="O34" s="231"/>
      <c r="P34" s="231"/>
      <c r="Q34" s="231"/>
    </row>
    <row r="35" spans="1:17" ht="15.75" customHeight="1">
      <c r="A35" s="232"/>
      <c r="B35" s="54"/>
      <c r="C35" s="55"/>
      <c r="D35" s="56"/>
      <c r="E35" s="57"/>
      <c r="F35" s="55"/>
      <c r="G35" s="56"/>
      <c r="H35" s="58"/>
      <c r="I35" s="55"/>
      <c r="J35" s="59"/>
      <c r="K35" s="60"/>
      <c r="L35" s="61"/>
      <c r="M35" s="62"/>
      <c r="N35" s="63"/>
      <c r="O35" s="232"/>
      <c r="P35" s="232"/>
      <c r="Q35" s="232"/>
    </row>
    <row r="36" spans="1:17" ht="15.75" customHeight="1">
      <c r="A36" s="230">
        <f>A29+1</f>
        <v>4</v>
      </c>
      <c r="B36" s="65">
        <f t="shared" ref="B36:C36" si="3">C36-1</f>
        <v>45138</v>
      </c>
      <c r="C36" s="66">
        <f t="shared" si="3"/>
        <v>45139</v>
      </c>
      <c r="D36" s="233">
        <f>F36-1</f>
        <v>45140</v>
      </c>
      <c r="E36" s="234"/>
      <c r="F36" s="66">
        <f>G36-1</f>
        <v>45141</v>
      </c>
      <c r="G36" s="233">
        <f>I36-1</f>
        <v>45142</v>
      </c>
      <c r="H36" s="234"/>
      <c r="I36" s="66">
        <f>L36-1</f>
        <v>45143</v>
      </c>
      <c r="J36" s="67" t="s">
        <v>11</v>
      </c>
      <c r="K36" s="68" t="s">
        <v>12</v>
      </c>
      <c r="L36" s="233">
        <f>B43-1</f>
        <v>45144</v>
      </c>
      <c r="M36" s="250"/>
      <c r="N36" s="251"/>
      <c r="O36" s="260">
        <f>J37/0.33</f>
        <v>51.333333333333343</v>
      </c>
      <c r="P36" s="260">
        <f>K37/0.3</f>
        <v>68.324666666666701</v>
      </c>
      <c r="Q36" s="260">
        <f>(O36-P36)*(-$B$10)+O36</f>
        <v>68.324666666666701</v>
      </c>
    </row>
    <row r="37" spans="1:17" ht="15" customHeight="1">
      <c r="A37" s="231"/>
      <c r="B37" s="70" t="s">
        <v>17</v>
      </c>
      <c r="C37" s="71" t="s">
        <v>17</v>
      </c>
      <c r="D37" s="235" t="s">
        <v>33</v>
      </c>
      <c r="E37" s="236"/>
      <c r="F37" s="71" t="s">
        <v>17</v>
      </c>
      <c r="G37" s="278" t="s">
        <v>19</v>
      </c>
      <c r="H37" s="279"/>
      <c r="I37" s="70" t="s">
        <v>17</v>
      </c>
      <c r="J37" s="72">
        <f>'NYC Marathon'!J65</f>
        <v>16.940000000000005</v>
      </c>
      <c r="K37" s="72">
        <f>'NYC Marathon'!K65</f>
        <v>20.49740000000001</v>
      </c>
      <c r="L37" s="254" t="s">
        <v>34</v>
      </c>
      <c r="M37" s="247"/>
      <c r="N37" s="248"/>
      <c r="O37" s="231"/>
      <c r="P37" s="231"/>
      <c r="Q37" s="231"/>
    </row>
    <row r="38" spans="1:17" ht="15" customHeight="1">
      <c r="A38" s="231"/>
      <c r="B38" s="74">
        <f>LOOKUP("T-Lf",'Pace Chart'!$E$24:$F$38)</f>
        <v>6.5393518518518517E-3</v>
      </c>
      <c r="C38" s="74">
        <f>LOOKUP("T-Lf",'Pace Chart'!$E$24:$F$38)</f>
        <v>6.5393518518518517E-3</v>
      </c>
      <c r="D38" s="283"/>
      <c r="E38" s="284"/>
      <c r="F38" s="74">
        <f>LOOKUP("T-Lf",'Pace Chart'!$E$24:$F$38)</f>
        <v>6.5393518518518517E-3</v>
      </c>
      <c r="G38" s="75" t="s">
        <v>21</v>
      </c>
      <c r="H38" s="76" t="s">
        <v>22</v>
      </c>
      <c r="I38" s="74">
        <f>LOOKUP("T-Lf",'Pace Chart'!$E$24:$F$38)</f>
        <v>6.5393518518518517E-3</v>
      </c>
      <c r="J38" s="79"/>
      <c r="K38" s="25"/>
      <c r="L38" s="80">
        <f>J37+(K37-J37)*'Chicago Marathon'!Distance_Pct - 8</f>
        <v>12.49740000000001</v>
      </c>
      <c r="M38" s="81"/>
      <c r="N38" s="82">
        <f>LOOKUP("T-LS",'Pace Chart'!$E$24:$F$38)</f>
        <v>6.782407407407408E-3</v>
      </c>
      <c r="O38" s="231"/>
      <c r="P38" s="231"/>
      <c r="Q38" s="231"/>
    </row>
    <row r="39" spans="1:17" ht="15" customHeight="1">
      <c r="A39" s="231"/>
      <c r="B39" s="83" t="s">
        <v>23</v>
      </c>
      <c r="C39" s="84"/>
      <c r="D39" s="105"/>
      <c r="E39" s="107"/>
      <c r="F39" s="84"/>
      <c r="G39" s="211" t="s">
        <v>179</v>
      </c>
      <c r="H39" s="76" t="s">
        <v>26</v>
      </c>
      <c r="I39" s="83" t="s">
        <v>23</v>
      </c>
      <c r="J39" s="85"/>
      <c r="K39" s="86"/>
      <c r="L39" s="87" t="s">
        <v>39</v>
      </c>
      <c r="M39" s="81"/>
      <c r="N39" s="82">
        <f>LOOKUP("R-Mar",'Pace Chart'!$E$24:$F$38)</f>
        <v>5.5555555555555558E-3</v>
      </c>
      <c r="O39" s="231"/>
      <c r="P39" s="231"/>
      <c r="Q39" s="231"/>
    </row>
    <row r="40" spans="1:17" ht="15" customHeight="1">
      <c r="A40" s="231"/>
      <c r="B40" s="88" t="s">
        <v>27</v>
      </c>
      <c r="C40" s="84"/>
      <c r="D40" s="105"/>
      <c r="E40" s="106"/>
      <c r="F40" s="84"/>
      <c r="G40" s="75" t="s">
        <v>28</v>
      </c>
      <c r="H40" s="116" t="s">
        <v>22</v>
      </c>
      <c r="I40" s="84"/>
      <c r="J40" s="85"/>
      <c r="K40" s="86"/>
      <c r="L40" s="87" t="s">
        <v>40</v>
      </c>
      <c r="M40" s="81"/>
      <c r="N40" s="82" t="s">
        <v>22</v>
      </c>
      <c r="O40" s="231"/>
      <c r="P40" s="231"/>
      <c r="Q40" s="231"/>
    </row>
    <row r="41" spans="1:17" ht="15" customHeight="1">
      <c r="A41" s="231"/>
      <c r="B41" s="89"/>
      <c r="C41" s="84"/>
      <c r="D41" s="77"/>
      <c r="E41" s="78"/>
      <c r="F41" s="84"/>
      <c r="G41" s="105"/>
      <c r="H41" s="108"/>
      <c r="I41" s="84"/>
      <c r="J41" s="85"/>
      <c r="K41" s="86"/>
      <c r="L41" s="87"/>
      <c r="M41" s="81"/>
      <c r="N41" s="82"/>
      <c r="O41" s="231"/>
      <c r="P41" s="231"/>
      <c r="Q41" s="231"/>
    </row>
    <row r="42" spans="1:17" ht="14.25" customHeight="1">
      <c r="A42" s="232"/>
      <c r="B42" s="90"/>
      <c r="C42" s="91"/>
      <c r="D42" s="92"/>
      <c r="E42" s="93"/>
      <c r="F42" s="94"/>
      <c r="G42" s="92"/>
      <c r="H42" s="109"/>
      <c r="I42" s="94"/>
      <c r="J42" s="95"/>
      <c r="K42" s="96"/>
      <c r="L42" s="97"/>
      <c r="M42" s="98"/>
      <c r="N42" s="99"/>
      <c r="O42" s="232"/>
      <c r="P42" s="232"/>
      <c r="Q42" s="232"/>
    </row>
    <row r="43" spans="1:17" ht="14.25" customHeight="1">
      <c r="A43" s="230">
        <f>A36+1</f>
        <v>5</v>
      </c>
      <c r="B43" s="33">
        <f t="shared" ref="B43:C43" si="4">C43-1</f>
        <v>45145</v>
      </c>
      <c r="C43" s="110">
        <f t="shared" si="4"/>
        <v>45146</v>
      </c>
      <c r="D43" s="237">
        <f>F43-1</f>
        <v>45147</v>
      </c>
      <c r="E43" s="238"/>
      <c r="F43" s="110">
        <f>G43-1</f>
        <v>45148</v>
      </c>
      <c r="G43" s="237">
        <f>I43-1</f>
        <v>45149</v>
      </c>
      <c r="H43" s="238"/>
      <c r="I43" s="34">
        <f>L43-1</f>
        <v>45150</v>
      </c>
      <c r="J43" s="101" t="s">
        <v>11</v>
      </c>
      <c r="K43" s="102" t="s">
        <v>12</v>
      </c>
      <c r="L43" s="264">
        <f>B50-1</f>
        <v>45151</v>
      </c>
      <c r="M43" s="250"/>
      <c r="N43" s="251"/>
      <c r="O43" s="259">
        <f>J44/0.33</f>
        <v>36.36363636363636</v>
      </c>
      <c r="P43" s="259">
        <f>K44/0.3</f>
        <v>50</v>
      </c>
      <c r="Q43" s="259">
        <f>(O43-P43)*(-$B$10)+O43</f>
        <v>50</v>
      </c>
    </row>
    <row r="44" spans="1:17" ht="15" customHeight="1">
      <c r="A44" s="231"/>
      <c r="B44" s="37" t="s">
        <v>17</v>
      </c>
      <c r="C44" s="37" t="s">
        <v>17</v>
      </c>
      <c r="D44" s="240" t="s">
        <v>180</v>
      </c>
      <c r="E44" s="236"/>
      <c r="F44" s="37" t="s">
        <v>17</v>
      </c>
      <c r="G44" s="243" t="s">
        <v>33</v>
      </c>
      <c r="H44" s="236"/>
      <c r="I44" s="111" t="s">
        <v>38</v>
      </c>
      <c r="J44" s="112">
        <f>'NYC Marathon'!J72</f>
        <v>12</v>
      </c>
      <c r="K44" s="113">
        <f>'NYC Marathon'!K72</f>
        <v>15</v>
      </c>
      <c r="L44" s="265" t="s">
        <v>20</v>
      </c>
      <c r="M44" s="247"/>
      <c r="N44" s="248"/>
      <c r="O44" s="231"/>
      <c r="P44" s="231"/>
      <c r="Q44" s="231"/>
    </row>
    <row r="45" spans="1:17" ht="15" customHeight="1">
      <c r="A45" s="231"/>
      <c r="B45" s="41">
        <f>LOOKUP("T-Lf",'Pace Chart'!$E$24:$F$38)</f>
        <v>6.5393518518518517E-3</v>
      </c>
      <c r="C45" s="41">
        <f>LOOKUP("T-Lf",'Pace Chart'!$E$24:$F$38)</f>
        <v>6.5393518518518517E-3</v>
      </c>
      <c r="D45" s="209" t="s">
        <v>35</v>
      </c>
      <c r="E45" s="43">
        <f>LOOKUP("R-5k",'Pace Chart'!$E$24:$F$38)</f>
        <v>4.8726851851851856E-3</v>
      </c>
      <c r="F45" s="41">
        <f>LOOKUP("T-Lf",'Pace Chart'!$E$24:$F$38)</f>
        <v>6.5393518518518517E-3</v>
      </c>
      <c r="G45" s="42"/>
      <c r="H45" s="43"/>
      <c r="I45" s="41">
        <f>LOOKUP("R-5K",'Pace Chart'!$E$24:$F$38)</f>
        <v>4.8726851851851856E-3</v>
      </c>
      <c r="J45" s="44"/>
      <c r="K45" s="45"/>
      <c r="L45" s="46">
        <f>J44+(K44-J44)*'Chicago Marathon'!Distance_Pct</f>
        <v>15</v>
      </c>
      <c r="M45" s="47"/>
      <c r="N45" s="48">
        <f>LOOKUP("T-LS",'Pace Chart'!$E$24:$F$38)</f>
        <v>6.782407407407408E-3</v>
      </c>
      <c r="O45" s="231"/>
      <c r="P45" s="231"/>
      <c r="Q45" s="231"/>
    </row>
    <row r="46" spans="1:17" ht="15" customHeight="1">
      <c r="A46" s="231"/>
      <c r="B46" s="49" t="s">
        <v>23</v>
      </c>
      <c r="C46" s="49"/>
      <c r="D46" s="218" t="s">
        <v>24</v>
      </c>
      <c r="E46" s="43" t="s">
        <v>22</v>
      </c>
      <c r="F46" s="49"/>
      <c r="G46" s="42"/>
      <c r="H46" s="43"/>
      <c r="I46" s="49"/>
      <c r="J46" s="50"/>
      <c r="K46" s="51"/>
      <c r="L46" s="52"/>
      <c r="M46" s="47"/>
      <c r="N46" s="48"/>
      <c r="O46" s="231"/>
      <c r="P46" s="231"/>
      <c r="Q46" s="231"/>
    </row>
    <row r="47" spans="1:17" ht="15.75" customHeight="1">
      <c r="A47" s="231"/>
      <c r="B47" s="53" t="s">
        <v>27</v>
      </c>
      <c r="C47" s="49"/>
      <c r="D47" s="42"/>
      <c r="E47" s="43"/>
      <c r="F47" s="49"/>
      <c r="G47" s="42"/>
      <c r="H47" s="104"/>
      <c r="I47" s="49"/>
      <c r="J47" s="50"/>
      <c r="K47" s="51"/>
      <c r="L47" s="52"/>
      <c r="M47" s="47"/>
      <c r="N47" s="48"/>
      <c r="O47" s="231"/>
      <c r="P47" s="231"/>
      <c r="Q47" s="231"/>
    </row>
    <row r="48" spans="1:17" ht="15.75" customHeight="1">
      <c r="A48" s="231"/>
      <c r="B48" s="53"/>
      <c r="C48" s="49"/>
      <c r="D48" s="42"/>
      <c r="E48" s="43"/>
      <c r="F48" s="49"/>
      <c r="G48" s="42"/>
      <c r="H48" s="104"/>
      <c r="I48" s="49"/>
      <c r="J48" s="50"/>
      <c r="K48" s="51"/>
      <c r="L48" s="52"/>
      <c r="M48" s="47"/>
      <c r="N48" s="48"/>
      <c r="O48" s="231"/>
      <c r="P48" s="231"/>
      <c r="Q48" s="231"/>
    </row>
    <row r="49" spans="1:17" ht="15.75" customHeight="1">
      <c r="A49" s="232"/>
      <c r="B49" s="54"/>
      <c r="C49" s="55"/>
      <c r="D49" s="56"/>
      <c r="E49" s="57"/>
      <c r="F49" s="55"/>
      <c r="G49" s="56"/>
      <c r="H49" s="58"/>
      <c r="I49" s="55"/>
      <c r="J49" s="59"/>
      <c r="K49" s="60"/>
      <c r="L49" s="61"/>
      <c r="M49" s="62"/>
      <c r="N49" s="63"/>
      <c r="O49" s="232"/>
      <c r="P49" s="232"/>
      <c r="Q49" s="232"/>
    </row>
    <row r="50" spans="1:17" ht="15.75" customHeight="1">
      <c r="A50" s="230">
        <f>A43+1</f>
        <v>6</v>
      </c>
      <c r="B50" s="65">
        <f t="shared" ref="B50:C50" si="5">C50-1</f>
        <v>45152</v>
      </c>
      <c r="C50" s="66">
        <f t="shared" si="5"/>
        <v>45153</v>
      </c>
      <c r="D50" s="233">
        <f>F50-1</f>
        <v>45154</v>
      </c>
      <c r="E50" s="234"/>
      <c r="F50" s="66">
        <f>G50-1</f>
        <v>45155</v>
      </c>
      <c r="G50" s="233">
        <f>I50-1</f>
        <v>45156</v>
      </c>
      <c r="H50" s="234"/>
      <c r="I50" s="66">
        <f>L50-1</f>
        <v>45157</v>
      </c>
      <c r="J50" s="67" t="s">
        <v>11</v>
      </c>
      <c r="K50" s="68" t="s">
        <v>12</v>
      </c>
      <c r="L50" s="233">
        <f>B57-1</f>
        <v>45158</v>
      </c>
      <c r="M50" s="250"/>
      <c r="N50" s="251"/>
      <c r="O50" s="260">
        <f>J51/0.33</f>
        <v>54.54545454545454</v>
      </c>
      <c r="P50" s="260">
        <f>K51/0.3</f>
        <v>73.333333333333343</v>
      </c>
      <c r="Q50" s="260">
        <f>(O50-P50)*(-$B$10)+O50</f>
        <v>73.333333333333343</v>
      </c>
    </row>
    <row r="51" spans="1:17" ht="15" customHeight="1">
      <c r="A51" s="231"/>
      <c r="B51" s="70" t="s">
        <v>67</v>
      </c>
      <c r="C51" s="71" t="s">
        <v>17</v>
      </c>
      <c r="D51" s="235" t="s">
        <v>18</v>
      </c>
      <c r="E51" s="236"/>
      <c r="F51" s="71" t="s">
        <v>17</v>
      </c>
      <c r="G51" s="278" t="s">
        <v>19</v>
      </c>
      <c r="H51" s="279"/>
      <c r="I51" s="143" t="s">
        <v>17</v>
      </c>
      <c r="J51" s="72">
        <f>'NYC Marathon'!J79</f>
        <v>18</v>
      </c>
      <c r="K51" s="72">
        <f>'NYC Marathon'!K79</f>
        <v>22</v>
      </c>
      <c r="L51" s="254" t="s">
        <v>20</v>
      </c>
      <c r="M51" s="247"/>
      <c r="N51" s="248"/>
      <c r="O51" s="231"/>
      <c r="P51" s="231"/>
      <c r="Q51" s="231"/>
    </row>
    <row r="52" spans="1:17" ht="15" customHeight="1">
      <c r="A52" s="231"/>
      <c r="B52" s="74"/>
      <c r="C52" s="74">
        <f>LOOKUP("T-Lf",'Pace Chart'!$E$24:$F$38)</f>
        <v>6.5393518518518517E-3</v>
      </c>
      <c r="D52" s="299" t="s">
        <v>187</v>
      </c>
      <c r="E52" s="300"/>
      <c r="F52" s="74">
        <f>LOOKUP("T-Lf",'Pace Chart'!$E$24:$F$38)</f>
        <v>6.5393518518518517E-3</v>
      </c>
      <c r="G52" s="75" t="s">
        <v>21</v>
      </c>
      <c r="H52" s="76" t="s">
        <v>22</v>
      </c>
      <c r="I52" s="139">
        <f>LOOKUP("T-Lf",'Pace Chart'!$E$24:$F$38)</f>
        <v>6.5393518518518517E-3</v>
      </c>
      <c r="J52" s="79"/>
      <c r="K52" s="25"/>
      <c r="L52" s="80">
        <f>J51+(K51-J51)*'Chicago Marathon'!Distance_Pct</f>
        <v>22</v>
      </c>
      <c r="M52" s="81"/>
      <c r="N52" s="82">
        <f>LOOKUP("T-LSD",'Pace Chart'!$E$24:$F$38)</f>
        <v>6.782407407407408E-3</v>
      </c>
      <c r="O52" s="231"/>
      <c r="P52" s="231"/>
      <c r="Q52" s="231"/>
    </row>
    <row r="53" spans="1:17" ht="15" customHeight="1">
      <c r="A53" s="231"/>
      <c r="B53" s="83"/>
      <c r="C53" s="84"/>
      <c r="D53" s="301" t="s">
        <v>188</v>
      </c>
      <c r="E53" s="302"/>
      <c r="F53" s="84"/>
      <c r="G53" s="211" t="s">
        <v>25</v>
      </c>
      <c r="H53" s="76" t="s">
        <v>26</v>
      </c>
      <c r="I53" s="144" t="s">
        <v>23</v>
      </c>
      <c r="J53" s="85"/>
      <c r="K53" s="86"/>
      <c r="L53" s="87"/>
      <c r="M53" s="81"/>
      <c r="N53" s="82"/>
      <c r="O53" s="231"/>
      <c r="P53" s="231"/>
      <c r="Q53" s="231"/>
    </row>
    <row r="54" spans="1:17" ht="14.25" customHeight="1">
      <c r="A54" s="231"/>
      <c r="B54" s="88"/>
      <c r="C54" s="84"/>
      <c r="D54" s="105"/>
      <c r="E54" s="106"/>
      <c r="F54" s="84"/>
      <c r="G54" s="75" t="s">
        <v>28</v>
      </c>
      <c r="H54" s="116" t="s">
        <v>22</v>
      </c>
      <c r="I54" s="84"/>
      <c r="J54" s="85"/>
      <c r="K54" s="86"/>
      <c r="L54" s="87"/>
      <c r="M54" s="81"/>
      <c r="N54" s="82"/>
      <c r="O54" s="231"/>
      <c r="P54" s="231"/>
      <c r="Q54" s="231"/>
    </row>
    <row r="55" spans="1:17" ht="14.25" customHeight="1">
      <c r="A55" s="231"/>
      <c r="B55" s="89"/>
      <c r="C55" s="84"/>
      <c r="D55" s="105"/>
      <c r="E55" s="106"/>
      <c r="F55" s="84"/>
      <c r="G55" s="105"/>
      <c r="H55" s="106"/>
      <c r="I55" s="84"/>
      <c r="J55" s="85"/>
      <c r="K55" s="86"/>
      <c r="L55" s="87"/>
      <c r="M55" s="81"/>
      <c r="N55" s="82"/>
      <c r="O55" s="231"/>
      <c r="P55" s="231"/>
      <c r="Q55" s="231"/>
    </row>
    <row r="56" spans="1:17" ht="14.25" customHeight="1">
      <c r="A56" s="232"/>
      <c r="B56" s="90"/>
      <c r="C56" s="91"/>
      <c r="D56" s="92"/>
      <c r="E56" s="93"/>
      <c r="F56" s="94"/>
      <c r="G56" s="92"/>
      <c r="H56" s="109"/>
      <c r="I56" s="94"/>
      <c r="J56" s="95"/>
      <c r="K56" s="96"/>
      <c r="L56" s="97"/>
      <c r="M56" s="98"/>
      <c r="N56" s="99"/>
      <c r="O56" s="232"/>
      <c r="P56" s="232"/>
      <c r="Q56" s="232"/>
    </row>
    <row r="57" spans="1:17" ht="14.25" customHeight="1">
      <c r="A57" s="230">
        <f>A50+1</f>
        <v>7</v>
      </c>
      <c r="B57" s="33">
        <f t="shared" ref="B57:C57" si="6">C57-1</f>
        <v>45159</v>
      </c>
      <c r="C57" s="110">
        <f t="shared" si="6"/>
        <v>45160</v>
      </c>
      <c r="D57" s="264">
        <f>F57-1</f>
        <v>45161</v>
      </c>
      <c r="E57" s="234"/>
      <c r="F57" s="110">
        <f>G57-1</f>
        <v>45162</v>
      </c>
      <c r="G57" s="264">
        <f>I57-1</f>
        <v>45163</v>
      </c>
      <c r="H57" s="234"/>
      <c r="I57" s="110">
        <f>L57-1</f>
        <v>45164</v>
      </c>
      <c r="J57" s="101" t="s">
        <v>11</v>
      </c>
      <c r="K57" s="102" t="s">
        <v>12</v>
      </c>
      <c r="L57" s="237">
        <f>B64-1</f>
        <v>45165</v>
      </c>
      <c r="M57" s="252"/>
      <c r="N57" s="253"/>
      <c r="O57" s="259">
        <f>J58/0.33</f>
        <v>30.303030303030301</v>
      </c>
      <c r="P57" s="259">
        <f>K58/0.3</f>
        <v>33.333333333333336</v>
      </c>
      <c r="Q57" s="259">
        <f>(O57-P57)*(-$B$10)+O57</f>
        <v>33.333333333333336</v>
      </c>
    </row>
    <row r="58" spans="1:17" ht="15" customHeight="1">
      <c r="A58" s="231"/>
      <c r="B58" s="37" t="s">
        <v>17</v>
      </c>
      <c r="C58" s="37" t="s">
        <v>17</v>
      </c>
      <c r="D58" s="243" t="s">
        <v>189</v>
      </c>
      <c r="E58" s="236"/>
      <c r="F58" s="37" t="s">
        <v>17</v>
      </c>
      <c r="G58" s="243" t="str">
        <f>'NYC Marathon'!G86:H86</f>
        <v>Tempo Run</v>
      </c>
      <c r="H58" s="236"/>
      <c r="I58" s="37" t="s">
        <v>17</v>
      </c>
      <c r="J58" s="112">
        <f>'NYC Marathon'!J86</f>
        <v>10</v>
      </c>
      <c r="K58" s="113">
        <f>'NYC Marathon'!K86</f>
        <v>10</v>
      </c>
      <c r="L58" s="265" t="s">
        <v>20</v>
      </c>
      <c r="M58" s="247"/>
      <c r="N58" s="248"/>
      <c r="O58" s="231"/>
      <c r="P58" s="231"/>
      <c r="Q58" s="231"/>
    </row>
    <row r="59" spans="1:17" ht="15" customHeight="1">
      <c r="A59" s="231"/>
      <c r="B59" s="41">
        <f>LOOKUP("T-Lf",'Pace Chart'!$E$24:$F$38)</f>
        <v>6.5393518518518517E-3</v>
      </c>
      <c r="C59" s="41">
        <f>LOOKUP("T-Lf",'Pace Chart'!$E$24:$F$38)</f>
        <v>6.5393518518518517E-3</v>
      </c>
      <c r="D59" s="117" t="s">
        <v>35</v>
      </c>
      <c r="E59" s="43">
        <f>LOOKUP("R-5K",'Pace Chart'!$E$24:$F$38)</f>
        <v>4.8726851851851856E-3</v>
      </c>
      <c r="F59" s="41">
        <f>LOOKUP("T-Lf",'Pace Chart'!$E$24:$F$38)</f>
        <v>6.5393518518518517E-3</v>
      </c>
      <c r="G59" s="42" t="s">
        <v>21</v>
      </c>
      <c r="H59" s="43" t="s">
        <v>22</v>
      </c>
      <c r="I59" s="41">
        <f>LOOKUP("T-Lf",'Pace Chart'!$E$24:$F$38)</f>
        <v>6.5393518518518517E-3</v>
      </c>
      <c r="J59" s="44"/>
      <c r="K59" s="45"/>
      <c r="L59" s="46">
        <f>J58+(K58-J58)*'Chicago Marathon'!Distance_Pct</f>
        <v>10</v>
      </c>
      <c r="M59" s="47"/>
      <c r="N59" s="48">
        <f>LOOKUP("T-LSD",'Pace Chart'!$E$24:$F$38)</f>
        <v>6.782407407407408E-3</v>
      </c>
      <c r="O59" s="231"/>
      <c r="P59" s="231"/>
      <c r="Q59" s="231"/>
    </row>
    <row r="60" spans="1:17" ht="15" customHeight="1">
      <c r="A60" s="231"/>
      <c r="B60" s="49" t="s">
        <v>23</v>
      </c>
      <c r="C60" s="49"/>
      <c r="D60" s="42" t="s">
        <v>41</v>
      </c>
      <c r="E60" s="43" t="s">
        <v>22</v>
      </c>
      <c r="F60" s="49"/>
      <c r="G60" s="42" t="s">
        <v>194</v>
      </c>
      <c r="H60" s="43">
        <f>LOOKUP("R-Half",'Pace Chart'!$E$24:$F$38)</f>
        <v>5.37037037037037E-3</v>
      </c>
      <c r="I60" s="49" t="s">
        <v>23</v>
      </c>
      <c r="J60" s="50"/>
      <c r="K60" s="51"/>
      <c r="L60" s="52"/>
      <c r="M60" s="47"/>
      <c r="N60" s="48"/>
      <c r="O60" s="231"/>
      <c r="P60" s="231"/>
      <c r="Q60" s="231"/>
    </row>
    <row r="61" spans="1:17" ht="15" customHeight="1">
      <c r="A61" s="231"/>
      <c r="B61" s="53" t="s">
        <v>27</v>
      </c>
      <c r="C61" s="49"/>
      <c r="D61" s="42"/>
      <c r="E61" s="43"/>
      <c r="F61" s="49"/>
      <c r="G61" s="42" t="s">
        <v>80</v>
      </c>
      <c r="H61" s="104" t="s">
        <v>22</v>
      </c>
      <c r="I61" s="118"/>
      <c r="J61" s="50"/>
      <c r="K61" s="51"/>
      <c r="L61" s="277"/>
      <c r="M61" s="275"/>
      <c r="N61" s="276"/>
      <c r="O61" s="231"/>
      <c r="P61" s="231"/>
      <c r="Q61" s="231"/>
    </row>
    <row r="62" spans="1:17" ht="15" customHeight="1">
      <c r="A62" s="231"/>
      <c r="B62" s="53"/>
      <c r="C62" s="49"/>
      <c r="D62" s="42"/>
      <c r="E62" s="43"/>
      <c r="F62" s="49"/>
      <c r="G62" s="42"/>
      <c r="H62" s="104"/>
      <c r="I62" s="118"/>
      <c r="J62" s="50"/>
      <c r="K62" s="51"/>
      <c r="L62" s="52"/>
      <c r="M62" s="47"/>
      <c r="N62" s="48"/>
      <c r="O62" s="231"/>
      <c r="P62" s="231"/>
      <c r="Q62" s="231"/>
    </row>
    <row r="63" spans="1:17" ht="15.75" customHeight="1">
      <c r="A63" s="232"/>
      <c r="B63" s="54"/>
      <c r="C63" s="55"/>
      <c r="D63" s="56"/>
      <c r="E63" s="57"/>
      <c r="F63" s="55"/>
      <c r="G63" s="56"/>
      <c r="H63" s="58"/>
      <c r="I63" s="119"/>
      <c r="J63" s="59"/>
      <c r="K63" s="60"/>
      <c r="L63" s="61"/>
      <c r="M63" s="62"/>
      <c r="N63" s="63"/>
      <c r="O63" s="232"/>
      <c r="P63" s="232"/>
      <c r="Q63" s="232"/>
    </row>
    <row r="64" spans="1:17" ht="15.75" customHeight="1">
      <c r="A64" s="230">
        <f>A57+1</f>
        <v>8</v>
      </c>
      <c r="B64" s="65">
        <f t="shared" ref="B64:C64" si="7">C64-1</f>
        <v>45166</v>
      </c>
      <c r="C64" s="66">
        <f t="shared" si="7"/>
        <v>45167</v>
      </c>
      <c r="D64" s="288">
        <f>F64-1</f>
        <v>45168</v>
      </c>
      <c r="E64" s="238"/>
      <c r="F64" s="66">
        <f>G64-1</f>
        <v>45169</v>
      </c>
      <c r="G64" s="233">
        <f>I64-1</f>
        <v>45170</v>
      </c>
      <c r="H64" s="234"/>
      <c r="I64" s="66">
        <f>L64-1</f>
        <v>45171</v>
      </c>
      <c r="J64" s="67" t="s">
        <v>11</v>
      </c>
      <c r="K64" s="68" t="s">
        <v>12</v>
      </c>
      <c r="L64" s="239">
        <f>B71-1</f>
        <v>45172</v>
      </c>
      <c r="M64" s="252"/>
      <c r="N64" s="253"/>
      <c r="O64" s="260">
        <f>J65/0.33</f>
        <v>54.54545454545454</v>
      </c>
      <c r="P64" s="260">
        <f>K65/0.3</f>
        <v>73.333333333333343</v>
      </c>
      <c r="Q64" s="260">
        <f>(O64-P64)*(-$B$10)+O64</f>
        <v>73.333333333333343</v>
      </c>
    </row>
    <row r="65" spans="1:17" ht="15" customHeight="1">
      <c r="A65" s="231"/>
      <c r="B65" s="70" t="s">
        <v>67</v>
      </c>
      <c r="C65" s="71" t="s">
        <v>17</v>
      </c>
      <c r="D65" s="235" t="s">
        <v>48</v>
      </c>
      <c r="E65" s="236"/>
      <c r="F65" s="71" t="s">
        <v>17</v>
      </c>
      <c r="G65" s="235" t="s">
        <v>84</v>
      </c>
      <c r="H65" s="236"/>
      <c r="I65" s="71" t="s">
        <v>17</v>
      </c>
      <c r="J65" s="72">
        <f>'NYC Marathon'!J93</f>
        <v>18</v>
      </c>
      <c r="K65" s="72">
        <f>'NYC Marathon'!K93</f>
        <v>22</v>
      </c>
      <c r="L65" s="254" t="s">
        <v>85</v>
      </c>
      <c r="M65" s="247"/>
      <c r="N65" s="248"/>
      <c r="O65" s="231"/>
      <c r="P65" s="231"/>
      <c r="Q65" s="231"/>
    </row>
    <row r="66" spans="1:17" ht="15" customHeight="1">
      <c r="A66" s="231"/>
      <c r="B66" s="74"/>
      <c r="C66" s="74">
        <f>LOOKUP("T-Lf",'Pace Chart'!$E$24:$F$38)</f>
        <v>6.5393518518518517E-3</v>
      </c>
      <c r="D66" s="105" t="s">
        <v>49</v>
      </c>
      <c r="E66" s="106">
        <f>LOOKUP("R-Half",'Pace Chart'!$E$24:$F$38)</f>
        <v>5.37037037037037E-3</v>
      </c>
      <c r="F66" s="74">
        <f>LOOKUP("T-Lf",'Pace Chart'!$E$24:$F$38)</f>
        <v>6.5393518518518517E-3</v>
      </c>
      <c r="G66" s="105" t="s">
        <v>21</v>
      </c>
      <c r="H66" s="106" t="s">
        <v>22</v>
      </c>
      <c r="I66" s="74">
        <f>LOOKUP("T-Lf",'Pace Chart'!$E$24:$F$38)</f>
        <v>6.5393518518518517E-3</v>
      </c>
      <c r="J66" s="79"/>
      <c r="K66" s="25"/>
      <c r="L66" s="80">
        <v>20</v>
      </c>
      <c r="M66" s="47"/>
      <c r="N66" s="145">
        <f>LOOKUP("T-LSD",'Pace Chart'!$E$24:$F$38)</f>
        <v>6.782407407407408E-3</v>
      </c>
      <c r="O66" s="231"/>
      <c r="P66" s="231"/>
      <c r="Q66" s="231"/>
    </row>
    <row r="67" spans="1:17" ht="15.75" customHeight="1">
      <c r="A67" s="231"/>
      <c r="B67" s="83"/>
      <c r="C67" s="84"/>
      <c r="D67" s="105" t="s">
        <v>50</v>
      </c>
      <c r="E67" s="106">
        <f>LOOKUP("t-can",'Pace Chart'!$E$24:$F$38)</f>
        <v>5.8333333333333336E-3</v>
      </c>
      <c r="F67" s="84"/>
      <c r="G67" s="105" t="s">
        <v>86</v>
      </c>
      <c r="H67" s="106">
        <f>LOOKUP("R-Half",'Pace Chart'!$E$24:$F$38)</f>
        <v>5.37037037037037E-3</v>
      </c>
      <c r="I67" s="84" t="s">
        <v>23</v>
      </c>
      <c r="J67" s="85"/>
      <c r="K67" s="86"/>
      <c r="L67" s="80"/>
      <c r="M67" s="47"/>
      <c r="N67" s="145"/>
      <c r="O67" s="231"/>
      <c r="P67" s="231"/>
      <c r="Q67" s="231"/>
    </row>
    <row r="68" spans="1:17" ht="15.75" customHeight="1">
      <c r="A68" s="231"/>
      <c r="B68" s="88"/>
      <c r="C68" s="84"/>
      <c r="D68" s="77"/>
      <c r="E68" s="78"/>
      <c r="F68" s="84"/>
      <c r="G68" s="105" t="s">
        <v>80</v>
      </c>
      <c r="H68" s="108" t="s">
        <v>22</v>
      </c>
      <c r="I68" s="84"/>
      <c r="J68" s="85"/>
      <c r="K68" s="86"/>
      <c r="L68" s="87"/>
      <c r="M68" s="81"/>
      <c r="N68" s="82"/>
      <c r="O68" s="231"/>
      <c r="P68" s="231"/>
      <c r="Q68" s="231"/>
    </row>
    <row r="69" spans="1:17" ht="15.75" customHeight="1">
      <c r="A69" s="231"/>
      <c r="B69" s="89"/>
      <c r="C69" s="84"/>
      <c r="D69" s="77"/>
      <c r="E69" s="78"/>
      <c r="F69" s="84"/>
      <c r="G69" s="77"/>
      <c r="H69" s="78"/>
      <c r="I69" s="84"/>
      <c r="J69" s="85"/>
      <c r="K69" s="86"/>
      <c r="L69" s="87"/>
      <c r="M69" s="81"/>
      <c r="N69" s="82"/>
      <c r="O69" s="231"/>
      <c r="P69" s="231"/>
      <c r="Q69" s="231"/>
    </row>
    <row r="70" spans="1:17" ht="15.75" customHeight="1">
      <c r="A70" s="232"/>
      <c r="B70" s="90"/>
      <c r="C70" s="91"/>
      <c r="D70" s="92"/>
      <c r="E70" s="93"/>
      <c r="F70" s="94"/>
      <c r="G70" s="92"/>
      <c r="H70" s="109"/>
      <c r="I70" s="94"/>
      <c r="J70" s="95"/>
      <c r="K70" s="96"/>
      <c r="L70" s="97"/>
      <c r="M70" s="98"/>
      <c r="N70" s="99"/>
      <c r="O70" s="232"/>
      <c r="P70" s="232"/>
      <c r="Q70" s="232"/>
    </row>
    <row r="71" spans="1:17" ht="14.25" customHeight="1">
      <c r="A71" s="230">
        <f>A64+1</f>
        <v>9</v>
      </c>
      <c r="B71" s="33">
        <f t="shared" ref="B71:C71" si="8">C71-1</f>
        <v>45173</v>
      </c>
      <c r="C71" s="110">
        <f t="shared" si="8"/>
        <v>45174</v>
      </c>
      <c r="D71" s="264">
        <f>F71-1</f>
        <v>45175</v>
      </c>
      <c r="E71" s="234"/>
      <c r="F71" s="110">
        <f>G71-1</f>
        <v>45176</v>
      </c>
      <c r="G71" s="237">
        <f>I71-1</f>
        <v>45177</v>
      </c>
      <c r="H71" s="238"/>
      <c r="I71" s="110">
        <f>L71-1</f>
        <v>45178</v>
      </c>
      <c r="J71" s="101" t="s">
        <v>11</v>
      </c>
      <c r="K71" s="102" t="s">
        <v>12</v>
      </c>
      <c r="L71" s="237">
        <f>B78-1</f>
        <v>45179</v>
      </c>
      <c r="M71" s="252"/>
      <c r="N71" s="253"/>
      <c r="O71" s="259">
        <f>J72/0.33</f>
        <v>39.393939393939391</v>
      </c>
      <c r="P71" s="259">
        <f>K72/0.3</f>
        <v>43.333333333333336</v>
      </c>
      <c r="Q71" s="259">
        <f>(O71-P71)*(-$B$10)+O71</f>
        <v>43.333333333333336</v>
      </c>
    </row>
    <row r="72" spans="1:17" ht="15" customHeight="1">
      <c r="A72" s="231"/>
      <c r="B72" s="37" t="s">
        <v>17</v>
      </c>
      <c r="C72" s="37" t="s">
        <v>17</v>
      </c>
      <c r="D72" s="243" t="s">
        <v>195</v>
      </c>
      <c r="E72" s="236"/>
      <c r="F72" s="37" t="s">
        <v>17</v>
      </c>
      <c r="G72" s="243" t="str">
        <f>'NYC Marathon'!G100:H100</f>
        <v>Tempo Run</v>
      </c>
      <c r="H72" s="236"/>
      <c r="I72" s="37" t="s">
        <v>17</v>
      </c>
      <c r="J72" s="112">
        <f>'NYC Marathon'!J100</f>
        <v>13</v>
      </c>
      <c r="K72" s="113">
        <f>'NYC Marathon'!K100</f>
        <v>13</v>
      </c>
      <c r="L72" s="265" t="str">
        <f>'NYC Marathon'!L100:N100</f>
        <v>Long Run</v>
      </c>
      <c r="M72" s="247"/>
      <c r="N72" s="248"/>
      <c r="O72" s="231"/>
      <c r="P72" s="231"/>
      <c r="Q72" s="231"/>
    </row>
    <row r="73" spans="1:17" ht="15" customHeight="1">
      <c r="A73" s="231"/>
      <c r="B73" s="41">
        <f>LOOKUP("T-Lf",'Pace Chart'!$E$24:$F$38)</f>
        <v>6.5393518518518517E-3</v>
      </c>
      <c r="C73" s="41">
        <f>LOOKUP("T-Lf",'Pace Chart'!$E$24:$F$38)</f>
        <v>6.5393518518518517E-3</v>
      </c>
      <c r="D73" s="42" t="s">
        <v>57</v>
      </c>
      <c r="E73" s="43">
        <f>LOOKUP("R-Half",'Pace Chart'!$E$24:$F$38)</f>
        <v>5.37037037037037E-3</v>
      </c>
      <c r="F73" s="41">
        <f>LOOKUP("T-Lf",'Pace Chart'!$E$24:$F$38)</f>
        <v>6.5393518518518517E-3</v>
      </c>
      <c r="G73" s="46" t="str">
        <f>'NYC Marathon'!G101</f>
        <v>1 mile warm-up @</v>
      </c>
      <c r="H73" s="43" t="str">
        <f>'NYC Marathon'!H101</f>
        <v>Jog</v>
      </c>
      <c r="I73" s="41">
        <f>LOOKUP("T-Lf",'Pace Chart'!$E$24:$F$38)</f>
        <v>6.5393518518518517E-3</v>
      </c>
      <c r="J73" s="44"/>
      <c r="K73" s="45"/>
      <c r="L73" s="46">
        <f>'NYC Marathon'!L101</f>
        <v>13</v>
      </c>
      <c r="M73" s="47"/>
      <c r="N73" s="48">
        <f>'NYC Marathon'!N101</f>
        <v>6.782407407407408E-3</v>
      </c>
      <c r="O73" s="231"/>
      <c r="P73" s="231"/>
      <c r="Q73" s="231"/>
    </row>
    <row r="74" spans="1:17" ht="15" customHeight="1">
      <c r="A74" s="231"/>
      <c r="B74" s="49" t="s">
        <v>23</v>
      </c>
      <c r="C74" s="49"/>
      <c r="D74" s="42" t="s">
        <v>24</v>
      </c>
      <c r="E74" s="43" t="s">
        <v>22</v>
      </c>
      <c r="F74" s="49"/>
      <c r="G74" s="46" t="str">
        <f>'NYC Marathon'!G102</f>
        <v>8M @</v>
      </c>
      <c r="H74" s="43">
        <f>'NYC Marathon'!H102</f>
        <v>5.5555555555555558E-3</v>
      </c>
      <c r="I74" s="49" t="s">
        <v>23</v>
      </c>
      <c r="J74" s="50"/>
      <c r="K74" s="51"/>
      <c r="L74" s="114" t="s">
        <v>43</v>
      </c>
      <c r="M74" s="47"/>
      <c r="N74" s="48">
        <f>LOOKUP("R-Mar",'Pace Chart'!$E$24:$F$38)</f>
        <v>5.5555555555555558E-3</v>
      </c>
      <c r="O74" s="231"/>
      <c r="P74" s="231"/>
      <c r="Q74" s="231"/>
    </row>
    <row r="75" spans="1:17" ht="15" customHeight="1">
      <c r="A75" s="231"/>
      <c r="B75" s="53" t="s">
        <v>27</v>
      </c>
      <c r="C75" s="49"/>
      <c r="D75" s="42" t="s">
        <v>47</v>
      </c>
      <c r="E75" s="43">
        <f>LOOKUP("R-1M",'Pace Chart'!$E$24:$F$38)</f>
        <v>4.5254629629629629E-3</v>
      </c>
      <c r="F75" s="49"/>
      <c r="G75" s="46" t="str">
        <f>'NYC Marathon'!G103</f>
        <v>1 mile cool-down @</v>
      </c>
      <c r="H75" s="43" t="str">
        <f>'NYC Marathon'!H103</f>
        <v>Jog</v>
      </c>
      <c r="I75" s="118"/>
      <c r="J75" s="50"/>
      <c r="K75" s="51"/>
      <c r="L75" s="285" t="s">
        <v>46</v>
      </c>
      <c r="M75" s="275"/>
      <c r="N75" s="276"/>
      <c r="O75" s="231"/>
      <c r="P75" s="231"/>
      <c r="Q75" s="231"/>
    </row>
    <row r="76" spans="1:17" ht="15" customHeight="1">
      <c r="A76" s="231"/>
      <c r="B76" s="53"/>
      <c r="C76" s="49"/>
      <c r="D76" s="42"/>
      <c r="E76" s="43"/>
      <c r="F76" s="49"/>
      <c r="G76" s="42"/>
      <c r="H76" s="43"/>
      <c r="I76" s="118"/>
      <c r="J76" s="50"/>
      <c r="K76" s="51"/>
      <c r="L76" s="46"/>
      <c r="M76" s="47"/>
      <c r="N76" s="48"/>
      <c r="O76" s="231"/>
      <c r="P76" s="231"/>
      <c r="Q76" s="231"/>
    </row>
    <row r="77" spans="1:17" ht="15" customHeight="1">
      <c r="A77" s="232"/>
      <c r="B77" s="54"/>
      <c r="C77" s="55"/>
      <c r="D77" s="219"/>
      <c r="E77" s="220"/>
      <c r="F77" s="55"/>
      <c r="G77" s="56"/>
      <c r="H77" s="58"/>
      <c r="I77" s="119"/>
      <c r="J77" s="59"/>
      <c r="K77" s="60"/>
      <c r="L77" s="61"/>
      <c r="M77" s="62"/>
      <c r="N77" s="63"/>
      <c r="O77" s="232"/>
      <c r="P77" s="232"/>
      <c r="Q77" s="232"/>
    </row>
    <row r="78" spans="1:17" ht="15.75" customHeight="1">
      <c r="A78" s="230">
        <f>A71+1</f>
        <v>10</v>
      </c>
      <c r="B78" s="65">
        <f t="shared" ref="B78:C78" si="9">C78-1</f>
        <v>45180</v>
      </c>
      <c r="C78" s="66">
        <f t="shared" si="9"/>
        <v>45181</v>
      </c>
      <c r="D78" s="233">
        <f>F78-1</f>
        <v>45182</v>
      </c>
      <c r="E78" s="234"/>
      <c r="F78" s="66">
        <f>G78-1</f>
        <v>45183</v>
      </c>
      <c r="G78" s="233">
        <f>I78-1</f>
        <v>45184</v>
      </c>
      <c r="H78" s="234"/>
      <c r="I78" s="66">
        <f>L78-1</f>
        <v>45185</v>
      </c>
      <c r="J78" s="67" t="s">
        <v>11</v>
      </c>
      <c r="K78" s="68" t="s">
        <v>12</v>
      </c>
      <c r="L78" s="239">
        <f>B85-1</f>
        <v>45186</v>
      </c>
      <c r="M78" s="252"/>
      <c r="N78" s="253"/>
      <c r="O78" s="260">
        <f>J79/0.33</f>
        <v>48.484848484848484</v>
      </c>
      <c r="P78" s="260">
        <f>K79/0.3</f>
        <v>60</v>
      </c>
      <c r="Q78" s="260">
        <f>(O78-P78)*(-$B$10)+O78</f>
        <v>60</v>
      </c>
    </row>
    <row r="79" spans="1:17" ht="15" customHeight="1">
      <c r="A79" s="231"/>
      <c r="B79" s="70" t="s">
        <v>17</v>
      </c>
      <c r="C79" s="71" t="s">
        <v>17</v>
      </c>
      <c r="D79" s="235" t="str">
        <f>'NYC Marathon'!D107:E107</f>
        <v xml:space="preserve">Death Loops: 3 Sets  </v>
      </c>
      <c r="E79" s="236"/>
      <c r="F79" s="71" t="s">
        <v>17</v>
      </c>
      <c r="G79" s="235" t="str">
        <f>'NYC Marathon'!G107:H107</f>
        <v>Tempo Run</v>
      </c>
      <c r="H79" s="236"/>
      <c r="I79" s="70" t="s">
        <v>17</v>
      </c>
      <c r="J79" s="72">
        <f>'NYC Marathon'!J107</f>
        <v>16</v>
      </c>
      <c r="K79" s="72">
        <f>'NYC Marathon'!K107</f>
        <v>18</v>
      </c>
      <c r="L79" s="254" t="s">
        <v>20</v>
      </c>
      <c r="M79" s="247"/>
      <c r="N79" s="248"/>
      <c r="O79" s="231"/>
      <c r="P79" s="231"/>
      <c r="Q79" s="231"/>
    </row>
    <row r="80" spans="1:17" ht="15" customHeight="1">
      <c r="A80" s="231"/>
      <c r="B80" s="74">
        <f>LOOKUP("T-Lf",'Pace Chart'!$E$24:$F$38)</f>
        <v>6.5393518518518517E-3</v>
      </c>
      <c r="C80" s="74">
        <f>LOOKUP("T-Lf",'Pace Chart'!$E$24:$F$38)</f>
        <v>6.5393518518518517E-3</v>
      </c>
      <c r="D80" s="105" t="str">
        <f>'NYC Marathon'!D108</f>
        <v>1.7M @</v>
      </c>
      <c r="E80" s="106">
        <f>'NYC Marathon'!E108</f>
        <v>5.37037037037037E-3</v>
      </c>
      <c r="F80" s="74">
        <f>LOOKUP("T-Lf",'Pace Chart'!$E$24:$F$38)</f>
        <v>6.5393518518518517E-3</v>
      </c>
      <c r="G80" s="140" t="str">
        <f>'NYC Marathon'!G108</f>
        <v>1 mile warm-up @</v>
      </c>
      <c r="H80" s="106" t="str">
        <f>'NYC Marathon'!H108</f>
        <v>Jog</v>
      </c>
      <c r="I80" s="74">
        <f>LOOKUP("T-Lf",'Pace Chart'!$E$24:$F$38)</f>
        <v>6.5393518518518517E-3</v>
      </c>
      <c r="J80" s="79"/>
      <c r="K80" s="25"/>
      <c r="L80" s="80">
        <f>J79+(K79-J79)*'Chicago Marathon'!Distance_Pct</f>
        <v>18</v>
      </c>
      <c r="M80" s="47"/>
      <c r="N80" s="145">
        <f>'NYC Marathon'!N108</f>
        <v>6.782407407407408E-3</v>
      </c>
      <c r="O80" s="231"/>
      <c r="P80" s="231"/>
      <c r="Q80" s="231"/>
    </row>
    <row r="81" spans="1:17" ht="15" customHeight="1">
      <c r="A81" s="231"/>
      <c r="B81" s="83" t="s">
        <v>23</v>
      </c>
      <c r="C81" s="84"/>
      <c r="D81" s="105" t="str">
        <f>'NYC Marathon'!D109</f>
        <v>1.7M @</v>
      </c>
      <c r="E81" s="106">
        <f>'NYC Marathon'!E109</f>
        <v>5.8333333333333336E-3</v>
      </c>
      <c r="F81" s="84"/>
      <c r="G81" s="140" t="str">
        <f>'NYC Marathon'!G109</f>
        <v>9M @</v>
      </c>
      <c r="H81" s="106">
        <f>'NYC Marathon'!H109</f>
        <v>5.5555555555555558E-3</v>
      </c>
      <c r="I81" s="83" t="s">
        <v>23</v>
      </c>
      <c r="J81" s="85"/>
      <c r="K81" s="86"/>
      <c r="L81" s="291" t="s">
        <v>87</v>
      </c>
      <c r="M81" s="275"/>
      <c r="N81" s="276"/>
      <c r="O81" s="231"/>
      <c r="P81" s="231"/>
      <c r="Q81" s="231"/>
    </row>
    <row r="82" spans="1:17" ht="15" customHeight="1">
      <c r="A82" s="231"/>
      <c r="B82" s="88" t="s">
        <v>27</v>
      </c>
      <c r="C82" s="84"/>
      <c r="D82" s="289" t="s">
        <v>184</v>
      </c>
      <c r="E82" s="290"/>
      <c r="F82" s="84"/>
      <c r="G82" s="140" t="str">
        <f>'NYC Marathon'!G110</f>
        <v>1 mile cool-down @</v>
      </c>
      <c r="H82" s="106" t="str">
        <f>'NYC Marathon'!H110</f>
        <v>Jog</v>
      </c>
      <c r="I82" s="83"/>
      <c r="J82" s="85"/>
      <c r="K82" s="86"/>
      <c r="L82" s="80"/>
      <c r="M82" s="47"/>
      <c r="N82" s="145"/>
      <c r="O82" s="231"/>
      <c r="P82" s="231"/>
      <c r="Q82" s="231"/>
    </row>
    <row r="83" spans="1:17" ht="14.25" customHeight="1">
      <c r="A83" s="231"/>
      <c r="B83" s="89"/>
      <c r="C83" s="84"/>
      <c r="D83" s="289"/>
      <c r="E83" s="290"/>
      <c r="F83" s="84"/>
      <c r="G83" s="77"/>
      <c r="H83" s="78"/>
      <c r="I83" s="84"/>
      <c r="J83" s="85"/>
      <c r="K83" s="86"/>
      <c r="L83" s="87"/>
      <c r="M83" s="81"/>
      <c r="N83" s="82"/>
      <c r="O83" s="231"/>
      <c r="P83" s="231"/>
      <c r="Q83" s="231"/>
    </row>
    <row r="84" spans="1:17" ht="14.25" customHeight="1">
      <c r="A84" s="232"/>
      <c r="B84" s="90"/>
      <c r="C84" s="91"/>
      <c r="D84" s="92"/>
      <c r="E84" s="93"/>
      <c r="F84" s="94"/>
      <c r="G84" s="92"/>
      <c r="H84" s="109"/>
      <c r="I84" s="94"/>
      <c r="J84" s="95"/>
      <c r="K84" s="96"/>
      <c r="L84" s="97"/>
      <c r="M84" s="98"/>
      <c r="N84" s="99"/>
      <c r="O84" s="232"/>
      <c r="P84" s="232"/>
      <c r="Q84" s="232"/>
    </row>
    <row r="85" spans="1:17" ht="14.25" customHeight="1">
      <c r="A85" s="230">
        <f>A78+1</f>
        <v>11</v>
      </c>
      <c r="B85" s="33">
        <f t="shared" ref="B85:C85" si="10">C85-1</f>
        <v>45187</v>
      </c>
      <c r="C85" s="110">
        <f t="shared" si="10"/>
        <v>45188</v>
      </c>
      <c r="D85" s="237">
        <f>F85-1</f>
        <v>45189</v>
      </c>
      <c r="E85" s="238"/>
      <c r="F85" s="110">
        <f>G85-1</f>
        <v>45190</v>
      </c>
      <c r="G85" s="237">
        <f>I85-1</f>
        <v>45191</v>
      </c>
      <c r="H85" s="238"/>
      <c r="I85" s="110">
        <f>L85-1</f>
        <v>45192</v>
      </c>
      <c r="J85" s="101" t="s">
        <v>11</v>
      </c>
      <c r="K85" s="102" t="s">
        <v>12</v>
      </c>
      <c r="L85" s="237">
        <f>B92-1</f>
        <v>45193</v>
      </c>
      <c r="M85" s="252"/>
      <c r="N85" s="253"/>
      <c r="O85" s="259">
        <f>J86/0.33</f>
        <v>48.484848484848484</v>
      </c>
      <c r="P85" s="259">
        <f>K86/0.3</f>
        <v>56.666666666666671</v>
      </c>
      <c r="Q85" s="259">
        <f>(O85-P85)*(-$B$10)+O85</f>
        <v>56.666666666666671</v>
      </c>
    </row>
    <row r="86" spans="1:17" ht="15" customHeight="1">
      <c r="A86" s="231"/>
      <c r="B86" s="37" t="s">
        <v>17</v>
      </c>
      <c r="C86" s="37" t="str">
        <f>'NYC Marathon'!C114</f>
        <v>5-10M Run @</v>
      </c>
      <c r="D86" s="243" t="str">
        <f>'NYC Marathon'!D114:E114</f>
        <v>Intervals: 3</v>
      </c>
      <c r="E86" s="236"/>
      <c r="F86" s="37" t="str">
        <f>'NYC Marathon'!F114</f>
        <v>5-10M Run @</v>
      </c>
      <c r="G86" s="243" t="str">
        <f>'NYC Marathon'!G114:H114</f>
        <v>Tempo Run</v>
      </c>
      <c r="H86" s="236"/>
      <c r="I86" s="37" t="str">
        <f>'NYC Marathon'!I114</f>
        <v>5-10M Run @</v>
      </c>
      <c r="J86" s="112">
        <f>'NYC Marathon'!J114</f>
        <v>16</v>
      </c>
      <c r="K86" s="113">
        <f>'NYC Marathon'!K114</f>
        <v>17</v>
      </c>
      <c r="L86" s="265" t="s">
        <v>20</v>
      </c>
      <c r="M86" s="247"/>
      <c r="N86" s="248"/>
      <c r="O86" s="231"/>
      <c r="P86" s="231"/>
      <c r="Q86" s="231"/>
    </row>
    <row r="87" spans="1:17" ht="15" customHeight="1">
      <c r="A87" s="231"/>
      <c r="B87" s="41">
        <v>5.2662037037037035E-3</v>
      </c>
      <c r="C87" s="41">
        <f>'NYC Marathon'!C115</f>
        <v>6.5393518518518517E-3</v>
      </c>
      <c r="D87" s="46" t="str">
        <f>'NYC Marathon'!D115</f>
        <v>1600m @</v>
      </c>
      <c r="E87" s="43">
        <f>'NYC Marathon'!E115</f>
        <v>5.5555555555555558E-3</v>
      </c>
      <c r="F87" s="41">
        <f>'NYC Marathon'!F115</f>
        <v>6.5393518518518517E-3</v>
      </c>
      <c r="G87" s="46" t="str">
        <f>'NYC Marathon'!G115</f>
        <v>1 mile warm-up @</v>
      </c>
      <c r="H87" s="43" t="str">
        <f>'NYC Marathon'!H115</f>
        <v>Jog</v>
      </c>
      <c r="I87" s="41">
        <f>'NYC Marathon'!I115</f>
        <v>6.5393518518518517E-3</v>
      </c>
      <c r="J87" s="44"/>
      <c r="K87" s="45"/>
      <c r="L87" s="46">
        <f>'NYC Marathon'!L115</f>
        <v>17</v>
      </c>
      <c r="M87" s="47"/>
      <c r="N87" s="48">
        <f>'NYC Marathon'!N115</f>
        <v>6.782407407407408E-3</v>
      </c>
      <c r="O87" s="231"/>
      <c r="P87" s="231"/>
      <c r="Q87" s="231"/>
    </row>
    <row r="88" spans="1:17" ht="15" customHeight="1">
      <c r="A88" s="231"/>
      <c r="B88" s="49" t="s">
        <v>23</v>
      </c>
      <c r="C88" s="49"/>
      <c r="D88" s="46" t="str">
        <f>'NYC Marathon'!D116</f>
        <v>3 min recovery @</v>
      </c>
      <c r="E88" s="43" t="str">
        <f>'NYC Marathon'!E116</f>
        <v>Jog</v>
      </c>
      <c r="F88" s="49"/>
      <c r="G88" s="46" t="str">
        <f>'NYC Marathon'!G116</f>
        <v>10M @</v>
      </c>
      <c r="H88" s="43">
        <f>'NYC Marathon'!H116</f>
        <v>5.5555555555555558E-3</v>
      </c>
      <c r="I88" s="49" t="str">
        <f>'NYC Marathon'!I116</f>
        <v>OR Rest Day</v>
      </c>
      <c r="J88" s="50"/>
      <c r="K88" s="51"/>
      <c r="L88" s="285"/>
      <c r="M88" s="275"/>
      <c r="N88" s="276"/>
      <c r="O88" s="231"/>
      <c r="P88" s="231"/>
      <c r="Q88" s="231"/>
    </row>
    <row r="89" spans="1:17" ht="15.75" customHeight="1">
      <c r="A89" s="231"/>
      <c r="B89" s="53" t="s">
        <v>27</v>
      </c>
      <c r="C89" s="49"/>
      <c r="D89" s="42"/>
      <c r="E89" s="43"/>
      <c r="F89" s="49"/>
      <c r="G89" s="46" t="str">
        <f>'NYC Marathon'!G117</f>
        <v>1 mile cool-down @</v>
      </c>
      <c r="H89" s="43" t="str">
        <f>'NYC Marathon'!H117</f>
        <v>Jog</v>
      </c>
      <c r="I89" s="118"/>
      <c r="J89" s="50"/>
      <c r="K89" s="51"/>
      <c r="L89" s="277"/>
      <c r="M89" s="275"/>
      <c r="N89" s="276"/>
      <c r="O89" s="231"/>
      <c r="P89" s="231"/>
      <c r="Q89" s="231"/>
    </row>
    <row r="90" spans="1:17" ht="15.75" customHeight="1">
      <c r="A90" s="231"/>
      <c r="B90" s="53"/>
      <c r="C90" s="49"/>
      <c r="D90" s="42"/>
      <c r="E90" s="43"/>
      <c r="F90" s="49"/>
      <c r="G90" s="42"/>
      <c r="H90" s="104"/>
      <c r="I90" s="118"/>
      <c r="J90" s="50"/>
      <c r="K90" s="51"/>
      <c r="L90" s="52"/>
      <c r="M90" s="47"/>
      <c r="N90" s="48"/>
      <c r="O90" s="231"/>
      <c r="P90" s="231"/>
      <c r="Q90" s="231"/>
    </row>
    <row r="91" spans="1:17" ht="15.75" customHeight="1">
      <c r="A91" s="232"/>
      <c r="B91" s="54"/>
      <c r="C91" s="55"/>
      <c r="D91" s="56"/>
      <c r="E91" s="57"/>
      <c r="F91" s="55"/>
      <c r="G91" s="56"/>
      <c r="H91" s="58"/>
      <c r="I91" s="119"/>
      <c r="J91" s="59"/>
      <c r="K91" s="60"/>
      <c r="L91" s="61"/>
      <c r="M91" s="62"/>
      <c r="N91" s="63"/>
      <c r="O91" s="232"/>
      <c r="P91" s="232"/>
      <c r="Q91" s="232"/>
    </row>
    <row r="92" spans="1:17" ht="15.75" customHeight="1">
      <c r="A92" s="230">
        <f>A85+1</f>
        <v>12</v>
      </c>
      <c r="B92" s="65">
        <f t="shared" ref="B92:C92" si="11">C92-1</f>
        <v>45194</v>
      </c>
      <c r="C92" s="66">
        <f t="shared" si="11"/>
        <v>45195</v>
      </c>
      <c r="D92" s="233">
        <f>F92-1</f>
        <v>45196</v>
      </c>
      <c r="E92" s="234"/>
      <c r="F92" s="66">
        <f>G92-1</f>
        <v>45197</v>
      </c>
      <c r="G92" s="233">
        <f>I92-1</f>
        <v>45198</v>
      </c>
      <c r="H92" s="234"/>
      <c r="I92" s="66">
        <f>L92-1</f>
        <v>45199</v>
      </c>
      <c r="J92" s="67" t="s">
        <v>11</v>
      </c>
      <c r="K92" s="68" t="s">
        <v>12</v>
      </c>
      <c r="L92" s="239">
        <f>B99-1</f>
        <v>45200</v>
      </c>
      <c r="M92" s="252"/>
      <c r="N92" s="253"/>
      <c r="O92" s="260">
        <f>J93/0.333</f>
        <v>30.03003003003003</v>
      </c>
      <c r="P92" s="260">
        <f>K93/0.3</f>
        <v>33.333333333333336</v>
      </c>
      <c r="Q92" s="260">
        <f>(O92-P92)*(-$B$10)+O92</f>
        <v>33.333333333333336</v>
      </c>
    </row>
    <row r="93" spans="1:17" ht="15" customHeight="1">
      <c r="A93" s="231"/>
      <c r="B93" s="70" t="s">
        <v>67</v>
      </c>
      <c r="C93" s="71" t="str">
        <f>'NYC Marathon'!C121</f>
        <v>5-10M Run @</v>
      </c>
      <c r="D93" s="235" t="str">
        <f>'NYC Marathon'!D121:E121</f>
        <v>Intervals: 4</v>
      </c>
      <c r="E93" s="236"/>
      <c r="F93" s="70" t="str">
        <f>'NYC Marathon'!F121</f>
        <v>5-10M Run @</v>
      </c>
      <c r="G93" s="235" t="str">
        <f>'NYC Marathon'!G121:H121</f>
        <v>Tempo Run</v>
      </c>
      <c r="H93" s="236"/>
      <c r="I93" s="71" t="str">
        <f>'NYC Marathon'!I121</f>
        <v>4-6M Run @</v>
      </c>
      <c r="J93" s="72">
        <f>'NYC Marathon'!J121</f>
        <v>10</v>
      </c>
      <c r="K93" s="72">
        <f>'NYC Marathon'!K121</f>
        <v>10</v>
      </c>
      <c r="L93" s="254" t="s">
        <v>20</v>
      </c>
      <c r="M93" s="247"/>
      <c r="N93" s="248"/>
      <c r="O93" s="231"/>
      <c r="P93" s="231"/>
      <c r="Q93" s="231"/>
    </row>
    <row r="94" spans="1:17" ht="15" customHeight="1">
      <c r="A94" s="231"/>
      <c r="B94" s="74"/>
      <c r="C94" s="74">
        <f>'NYC Marathon'!C122</f>
        <v>6.5393518518518517E-3</v>
      </c>
      <c r="D94" s="140" t="str">
        <f>'NYC Marathon'!D122</f>
        <v>1200m @</v>
      </c>
      <c r="E94" s="106">
        <f>'NYC Marathon'!E122</f>
        <v>5.5555555555555558E-3</v>
      </c>
      <c r="F94" s="74">
        <f>'NYC Marathon'!F122</f>
        <v>6.5393518518518517E-3</v>
      </c>
      <c r="G94" s="140" t="str">
        <f>'NYC Marathon'!G122</f>
        <v>1 mile warm-up @</v>
      </c>
      <c r="H94" s="106" t="str">
        <f>'NYC Marathon'!H122</f>
        <v>Jog</v>
      </c>
      <c r="I94" s="74">
        <f>'NYC Marathon'!I122</f>
        <v>6.5393518518518517E-3</v>
      </c>
      <c r="J94" s="79"/>
      <c r="K94" s="25"/>
      <c r="L94" s="80">
        <f>'NYC Marathon'!L122</f>
        <v>10</v>
      </c>
      <c r="M94" s="81"/>
      <c r="N94" s="145">
        <f>'NYC Marathon'!N122</f>
        <v>6.782407407407408E-3</v>
      </c>
      <c r="O94" s="231"/>
      <c r="P94" s="231"/>
      <c r="Q94" s="231"/>
    </row>
    <row r="95" spans="1:17" ht="15" customHeight="1">
      <c r="A95" s="231"/>
      <c r="B95" s="83"/>
      <c r="C95" s="84"/>
      <c r="D95" s="140" t="str">
        <f>'NYC Marathon'!D123</f>
        <v>3 min recovery @</v>
      </c>
      <c r="E95" s="106" t="str">
        <f>'NYC Marathon'!E123</f>
        <v>Jog</v>
      </c>
      <c r="F95" s="84"/>
      <c r="G95" s="140" t="str">
        <f>'NYC Marathon'!G123</f>
        <v>6M @</v>
      </c>
      <c r="H95" s="106">
        <f>'NYC Marathon'!H123</f>
        <v>5.5555555555555558E-3</v>
      </c>
      <c r="I95" s="83" t="str">
        <f>'NYC Marathon'!I123</f>
        <v>OR Rest Day</v>
      </c>
      <c r="J95" s="85"/>
      <c r="K95" s="86"/>
      <c r="L95" s="87"/>
      <c r="M95" s="81"/>
      <c r="N95" s="82"/>
      <c r="O95" s="231"/>
      <c r="P95" s="231"/>
      <c r="Q95" s="231"/>
    </row>
    <row r="96" spans="1:17" ht="15.75" customHeight="1">
      <c r="A96" s="231"/>
      <c r="B96" s="88"/>
      <c r="C96" s="84"/>
      <c r="D96" s="77"/>
      <c r="E96" s="106"/>
      <c r="F96" s="84"/>
      <c r="G96" s="140" t="str">
        <f>'NYC Marathon'!G124</f>
        <v>1 mile cool-down @</v>
      </c>
      <c r="H96" s="106" t="str">
        <f>'NYC Marathon'!H124</f>
        <v>Jog</v>
      </c>
      <c r="I96" s="84"/>
      <c r="J96" s="85"/>
      <c r="K96" s="86"/>
      <c r="L96" s="87"/>
      <c r="M96" s="81"/>
      <c r="N96" s="82"/>
      <c r="O96" s="231"/>
      <c r="P96" s="231"/>
      <c r="Q96" s="231"/>
    </row>
    <row r="97" spans="1:17" ht="15.75" customHeight="1">
      <c r="A97" s="231"/>
      <c r="B97" s="89"/>
      <c r="C97" s="84"/>
      <c r="D97" s="105"/>
      <c r="E97" s="106"/>
      <c r="F97" s="84"/>
      <c r="G97" s="77"/>
      <c r="H97" s="78"/>
      <c r="I97" s="84"/>
      <c r="J97" s="85"/>
      <c r="K97" s="86"/>
      <c r="L97" s="87"/>
      <c r="M97" s="81"/>
      <c r="N97" s="82"/>
      <c r="O97" s="231"/>
      <c r="P97" s="231"/>
      <c r="Q97" s="231"/>
    </row>
    <row r="98" spans="1:17" ht="15.75" customHeight="1">
      <c r="A98" s="232"/>
      <c r="B98" s="90"/>
      <c r="C98" s="91"/>
      <c r="D98" s="92"/>
      <c r="E98" s="109"/>
      <c r="F98" s="94"/>
      <c r="G98" s="92"/>
      <c r="H98" s="109"/>
      <c r="I98" s="94"/>
      <c r="J98" s="95"/>
      <c r="K98" s="96"/>
      <c r="L98" s="97"/>
      <c r="M98" s="98"/>
      <c r="N98" s="99"/>
      <c r="O98" s="232"/>
      <c r="P98" s="232"/>
      <c r="Q98" s="232"/>
    </row>
    <row r="99" spans="1:17" ht="14.25" customHeight="1">
      <c r="A99" s="230">
        <f>A92+1</f>
        <v>13</v>
      </c>
      <c r="B99" s="33">
        <f t="shared" ref="B99:C99" si="12">C99-1</f>
        <v>45201</v>
      </c>
      <c r="C99" s="110">
        <f t="shared" si="12"/>
        <v>45202</v>
      </c>
      <c r="D99" s="237">
        <f>F99-1</f>
        <v>45203</v>
      </c>
      <c r="E99" s="238"/>
      <c r="F99" s="110">
        <f>G99-1</f>
        <v>45204</v>
      </c>
      <c r="G99" s="237">
        <f>I99-1</f>
        <v>45205</v>
      </c>
      <c r="H99" s="238"/>
      <c r="I99" s="110">
        <f>L99-1</f>
        <v>45206</v>
      </c>
      <c r="J99" s="101" t="s">
        <v>11</v>
      </c>
      <c r="K99" s="102" t="s">
        <v>12</v>
      </c>
      <c r="L99" s="237">
        <v>45207</v>
      </c>
      <c r="M99" s="252"/>
      <c r="N99" s="253"/>
      <c r="O99" s="259">
        <v>24</v>
      </c>
      <c r="P99" s="259">
        <v>32</v>
      </c>
      <c r="Q99" s="259" t="s">
        <v>71</v>
      </c>
    </row>
    <row r="100" spans="1:17" ht="15" customHeight="1">
      <c r="A100" s="231"/>
      <c r="B100" s="37" t="str">
        <f>'NYC Marathon'!B128</f>
        <v>Rest Day</v>
      </c>
      <c r="C100" s="37" t="str">
        <f>'NYC Marathon'!C128</f>
        <v>5-7M Run @</v>
      </c>
      <c r="D100" s="243" t="str">
        <f>'NYC Marathon'!D128:E128</f>
        <v>Intervals: 2</v>
      </c>
      <c r="E100" s="236"/>
      <c r="F100" s="37" t="str">
        <f>'NYC Marathon'!F128</f>
        <v>5-7M Run @</v>
      </c>
      <c r="G100" s="243" t="s">
        <v>73</v>
      </c>
      <c r="H100" s="236"/>
      <c r="I100" s="37"/>
      <c r="J100" s="38"/>
      <c r="K100" s="38"/>
      <c r="L100" s="246" t="s">
        <v>76</v>
      </c>
      <c r="M100" s="247"/>
      <c r="N100" s="248"/>
      <c r="O100" s="231"/>
      <c r="P100" s="231"/>
      <c r="Q100" s="231"/>
    </row>
    <row r="101" spans="1:17" ht="15" customHeight="1">
      <c r="A101" s="231"/>
      <c r="B101" s="41"/>
      <c r="C101" s="41">
        <f>'NYC Marathon'!C129</f>
        <v>6.5393518518518517E-3</v>
      </c>
      <c r="D101" s="46" t="str">
        <f>'NYC Marathon'!D129</f>
        <v>1600m @</v>
      </c>
      <c r="E101" s="43">
        <f>'NYC Marathon'!E129</f>
        <v>5.5555555555555558E-3</v>
      </c>
      <c r="F101" s="41">
        <f>'NYC Marathon'!F129</f>
        <v>6.5393518518518517E-3</v>
      </c>
      <c r="G101" s="46" t="str">
        <f>'NYC Marathon'!G129</f>
        <v>1 mile @</v>
      </c>
      <c r="H101" s="43" t="str">
        <f>'NYC Marathon'!H129</f>
        <v>Jog</v>
      </c>
      <c r="I101" s="49" t="str">
        <f>'NYC Marathon'!I129</f>
        <v>REST OR</v>
      </c>
      <c r="J101" s="50"/>
      <c r="K101" s="51"/>
      <c r="L101" s="131" t="s">
        <v>78</v>
      </c>
      <c r="M101" s="122"/>
      <c r="N101" s="123">
        <f>LOOKUP("R-Mar",'Pace Chart'!$E$24:$F$38)</f>
        <v>5.5555555555555558E-3</v>
      </c>
      <c r="O101" s="231"/>
      <c r="P101" s="231"/>
      <c r="Q101" s="231"/>
    </row>
    <row r="102" spans="1:17" ht="15" customHeight="1">
      <c r="A102" s="231"/>
      <c r="B102" s="49"/>
      <c r="C102" s="49"/>
      <c r="D102" s="46" t="str">
        <f>'NYC Marathon'!D130</f>
        <v>3 min recovery @</v>
      </c>
      <c r="E102" s="43" t="str">
        <f>'NYC Marathon'!E130</f>
        <v>Jog</v>
      </c>
      <c r="F102" s="49"/>
      <c r="G102" s="46" t="str">
        <f>'NYC Marathon'!G130</f>
        <v>1 mile @</v>
      </c>
      <c r="H102" s="43">
        <f>'NYC Marathon'!H130</f>
        <v>5.5555555555555558E-3</v>
      </c>
      <c r="I102" s="49" t="str">
        <f>'NYC Marathon'!I130</f>
        <v>1-2 mile jog</v>
      </c>
      <c r="J102" s="50"/>
      <c r="K102" s="51"/>
      <c r="L102" s="52"/>
      <c r="M102" s="47"/>
      <c r="N102" s="48"/>
      <c r="O102" s="231"/>
      <c r="P102" s="231"/>
      <c r="Q102" s="231"/>
    </row>
    <row r="103" spans="1:17" ht="15.75" customHeight="1">
      <c r="A103" s="231"/>
      <c r="B103" s="53"/>
      <c r="C103" s="49"/>
      <c r="D103" s="42"/>
      <c r="E103" s="43"/>
      <c r="F103" s="49"/>
      <c r="G103" s="46" t="str">
        <f>'NYC Marathon'!G131</f>
        <v>1 mile @</v>
      </c>
      <c r="H103" s="43" t="str">
        <f>'NYC Marathon'!H131</f>
        <v>Jog</v>
      </c>
      <c r="I103" s="41"/>
      <c r="J103" s="50"/>
      <c r="K103" s="51"/>
      <c r="L103" s="274"/>
      <c r="M103" s="275"/>
      <c r="N103" s="276"/>
      <c r="O103" s="231"/>
      <c r="P103" s="231"/>
      <c r="Q103" s="231"/>
    </row>
    <row r="104" spans="1:17" ht="15.75" customHeight="1">
      <c r="A104" s="231"/>
      <c r="B104" s="53"/>
      <c r="C104" s="49"/>
      <c r="D104" s="42"/>
      <c r="E104" s="43"/>
      <c r="F104" s="49"/>
      <c r="G104" s="42"/>
      <c r="H104" s="43"/>
      <c r="I104" s="49"/>
      <c r="J104" s="50"/>
      <c r="K104" s="51"/>
      <c r="L104" s="121"/>
      <c r="M104" s="122"/>
      <c r="N104" s="123"/>
      <c r="O104" s="231"/>
      <c r="P104" s="231"/>
      <c r="Q104" s="231"/>
    </row>
    <row r="105" spans="1:17" ht="15.75" customHeight="1">
      <c r="A105" s="232"/>
      <c r="B105" s="54"/>
      <c r="C105" s="55"/>
      <c r="D105" s="56"/>
      <c r="E105" s="138"/>
      <c r="F105" s="146"/>
      <c r="G105" s="56"/>
      <c r="H105" s="58"/>
      <c r="I105" s="146"/>
      <c r="J105" s="59"/>
      <c r="K105" s="60"/>
      <c r="L105" s="61"/>
      <c r="M105" s="62"/>
      <c r="N105" s="63"/>
      <c r="O105" s="232"/>
      <c r="P105" s="232"/>
      <c r="Q105" s="232"/>
    </row>
    <row r="106" spans="1:17" ht="15.75" hidden="1" customHeight="1">
      <c r="A106" s="230">
        <f>A99+1</f>
        <v>14</v>
      </c>
      <c r="B106" s="65">
        <f t="shared" ref="B106:C106" si="13">C106-1</f>
        <v>45208</v>
      </c>
      <c r="C106" s="66">
        <f t="shared" si="13"/>
        <v>45209</v>
      </c>
      <c r="D106" s="233">
        <f>F106-1</f>
        <v>45210</v>
      </c>
      <c r="E106" s="234"/>
      <c r="F106" s="66">
        <f>G106-1</f>
        <v>45211</v>
      </c>
      <c r="G106" s="233">
        <f>I106-1</f>
        <v>45212</v>
      </c>
      <c r="H106" s="234"/>
      <c r="I106" s="66">
        <f>L106-1</f>
        <v>45213</v>
      </c>
      <c r="J106" s="67" t="s">
        <v>11</v>
      </c>
      <c r="K106" s="68" t="s">
        <v>12</v>
      </c>
      <c r="L106" s="239">
        <f>B113-1</f>
        <v>45214</v>
      </c>
      <c r="M106" s="252"/>
      <c r="N106" s="253"/>
      <c r="O106" s="260"/>
      <c r="P106" s="260"/>
      <c r="Q106" s="260"/>
    </row>
    <row r="107" spans="1:17" ht="15" hidden="1" customHeight="1">
      <c r="A107" s="231"/>
      <c r="B107" s="70"/>
      <c r="C107" s="71"/>
      <c r="D107" s="235"/>
      <c r="E107" s="236"/>
      <c r="F107" s="71"/>
      <c r="G107" s="235"/>
      <c r="H107" s="236"/>
      <c r="I107" s="71"/>
      <c r="J107" s="115"/>
      <c r="K107" s="115"/>
      <c r="L107" s="254"/>
      <c r="M107" s="247"/>
      <c r="N107" s="248"/>
      <c r="O107" s="231"/>
      <c r="P107" s="231"/>
      <c r="Q107" s="231"/>
    </row>
    <row r="108" spans="1:17" ht="15" hidden="1" customHeight="1">
      <c r="A108" s="231"/>
      <c r="B108" s="74"/>
      <c r="C108" s="74"/>
      <c r="D108" s="105"/>
      <c r="E108" s="106"/>
      <c r="F108" s="74"/>
      <c r="G108" s="140"/>
      <c r="H108" s="106"/>
      <c r="I108" s="74"/>
      <c r="J108" s="79"/>
      <c r="K108" s="25"/>
      <c r="L108" s="80"/>
      <c r="M108" s="81"/>
      <c r="N108" s="82"/>
      <c r="O108" s="231"/>
      <c r="P108" s="231"/>
      <c r="Q108" s="231"/>
    </row>
    <row r="109" spans="1:17" ht="15" hidden="1" customHeight="1">
      <c r="A109" s="231"/>
      <c r="B109" s="83"/>
      <c r="C109" s="84"/>
      <c r="D109" s="105"/>
      <c r="E109" s="106"/>
      <c r="F109" s="84"/>
      <c r="G109" s="140"/>
      <c r="H109" s="106"/>
      <c r="I109" s="84"/>
      <c r="J109" s="85"/>
      <c r="K109" s="86"/>
      <c r="L109" s="87"/>
      <c r="M109" s="81"/>
      <c r="N109" s="82"/>
      <c r="O109" s="231"/>
      <c r="P109" s="231"/>
      <c r="Q109" s="231"/>
    </row>
    <row r="110" spans="1:17" ht="14.25" hidden="1" customHeight="1">
      <c r="A110" s="231"/>
      <c r="B110" s="88"/>
      <c r="C110" s="84"/>
      <c r="D110" s="124"/>
      <c r="E110" s="125"/>
      <c r="F110" s="84"/>
      <c r="G110" s="140"/>
      <c r="H110" s="106"/>
      <c r="I110" s="84"/>
      <c r="J110" s="85"/>
      <c r="K110" s="86"/>
      <c r="L110" s="87"/>
      <c r="M110" s="81"/>
      <c r="N110" s="82"/>
      <c r="O110" s="231"/>
      <c r="P110" s="231"/>
      <c r="Q110" s="231"/>
    </row>
    <row r="111" spans="1:17" ht="14.25" hidden="1" customHeight="1">
      <c r="A111" s="231"/>
      <c r="B111" s="89"/>
      <c r="C111" s="84"/>
      <c r="D111" s="77"/>
      <c r="E111" s="78"/>
      <c r="F111" s="84"/>
      <c r="G111" s="77"/>
      <c r="H111" s="78"/>
      <c r="I111" s="84"/>
      <c r="J111" s="85"/>
      <c r="K111" s="86"/>
      <c r="L111" s="87"/>
      <c r="M111" s="81"/>
      <c r="N111" s="82"/>
      <c r="O111" s="231"/>
      <c r="P111" s="231"/>
      <c r="Q111" s="231"/>
    </row>
    <row r="112" spans="1:17" ht="14.25" hidden="1" customHeight="1">
      <c r="A112" s="232"/>
      <c r="B112" s="90"/>
      <c r="C112" s="91"/>
      <c r="D112" s="92"/>
      <c r="E112" s="93"/>
      <c r="F112" s="94"/>
      <c r="G112" s="92"/>
      <c r="H112" s="109"/>
      <c r="I112" s="94"/>
      <c r="J112" s="95"/>
      <c r="K112" s="96"/>
      <c r="L112" s="97"/>
      <c r="M112" s="98"/>
      <c r="N112" s="99"/>
      <c r="O112" s="232"/>
      <c r="P112" s="232"/>
      <c r="Q112" s="232"/>
    </row>
    <row r="113" spans="1:17" ht="15" hidden="1" customHeight="1">
      <c r="A113" s="230">
        <f>A106+1</f>
        <v>15</v>
      </c>
      <c r="B113" s="33">
        <f t="shared" ref="B113:C113" si="14">C113-1</f>
        <v>45215</v>
      </c>
      <c r="C113" s="110">
        <f t="shared" si="14"/>
        <v>45216</v>
      </c>
      <c r="D113" s="237">
        <f>F113-1</f>
        <v>45217</v>
      </c>
      <c r="E113" s="238"/>
      <c r="F113" s="110">
        <f>G113-1</f>
        <v>45218</v>
      </c>
      <c r="G113" s="237">
        <f>I113-1</f>
        <v>45219</v>
      </c>
      <c r="H113" s="238"/>
      <c r="I113" s="110">
        <f>L113-1</f>
        <v>45220</v>
      </c>
      <c r="J113" s="101" t="s">
        <v>11</v>
      </c>
      <c r="K113" s="102" t="s">
        <v>12</v>
      </c>
      <c r="L113" s="237">
        <f>B120-1</f>
        <v>45221</v>
      </c>
      <c r="M113" s="252"/>
      <c r="N113" s="253"/>
      <c r="O113" s="259"/>
      <c r="P113" s="259"/>
      <c r="Q113" s="259"/>
    </row>
    <row r="114" spans="1:17" ht="15" hidden="1" customHeight="1">
      <c r="A114" s="231"/>
      <c r="B114" s="37"/>
      <c r="C114" s="37"/>
      <c r="D114" s="243"/>
      <c r="E114" s="236"/>
      <c r="F114" s="37"/>
      <c r="G114" s="243"/>
      <c r="H114" s="236"/>
      <c r="I114" s="37"/>
      <c r="J114" s="38"/>
      <c r="K114" s="39"/>
      <c r="L114" s="265"/>
      <c r="M114" s="247"/>
      <c r="N114" s="248"/>
      <c r="O114" s="231"/>
      <c r="P114" s="231"/>
      <c r="Q114" s="231"/>
    </row>
    <row r="115" spans="1:17" ht="15" hidden="1" customHeight="1">
      <c r="A115" s="231"/>
      <c r="B115" s="41"/>
      <c r="C115" s="41"/>
      <c r="D115" s="42"/>
      <c r="E115" s="43"/>
      <c r="F115" s="41"/>
      <c r="G115" s="46"/>
      <c r="H115" s="43"/>
      <c r="I115" s="41"/>
      <c r="J115" s="44"/>
      <c r="K115" s="45"/>
      <c r="L115" s="46"/>
      <c r="M115" s="47"/>
      <c r="N115" s="48"/>
      <c r="O115" s="231"/>
      <c r="P115" s="231"/>
      <c r="Q115" s="231"/>
    </row>
    <row r="116" spans="1:17" ht="15" hidden="1" customHeight="1">
      <c r="A116" s="231"/>
      <c r="B116" s="49"/>
      <c r="C116" s="49"/>
      <c r="D116" s="42"/>
      <c r="E116" s="43"/>
      <c r="F116" s="49"/>
      <c r="G116" s="46"/>
      <c r="H116" s="43"/>
      <c r="I116" s="49"/>
      <c r="J116" s="50"/>
      <c r="K116" s="51"/>
      <c r="L116" s="52"/>
      <c r="M116" s="47"/>
      <c r="N116" s="48"/>
      <c r="O116" s="231"/>
      <c r="P116" s="231"/>
      <c r="Q116" s="231"/>
    </row>
    <row r="117" spans="1:17" ht="15.75" hidden="1" customHeight="1">
      <c r="A117" s="231"/>
      <c r="B117" s="53"/>
      <c r="C117" s="49"/>
      <c r="D117" s="42"/>
      <c r="E117" s="43"/>
      <c r="F117" s="49"/>
      <c r="G117" s="46"/>
      <c r="H117" s="43"/>
      <c r="I117" s="118"/>
      <c r="J117" s="50"/>
      <c r="K117" s="51"/>
      <c r="L117" s="277"/>
      <c r="M117" s="275"/>
      <c r="N117" s="276"/>
      <c r="O117" s="231"/>
      <c r="P117" s="231"/>
      <c r="Q117" s="231"/>
    </row>
    <row r="118" spans="1:17" ht="15.75" hidden="1" customHeight="1">
      <c r="A118" s="231"/>
      <c r="B118" s="53"/>
      <c r="C118" s="49"/>
      <c r="D118" s="42"/>
      <c r="E118" s="43"/>
      <c r="F118" s="49"/>
      <c r="G118" s="42"/>
      <c r="H118" s="104"/>
      <c r="I118" s="118"/>
      <c r="J118" s="50"/>
      <c r="K118" s="51"/>
      <c r="L118" s="52"/>
      <c r="M118" s="47"/>
      <c r="N118" s="48"/>
      <c r="O118" s="231"/>
      <c r="P118" s="231"/>
      <c r="Q118" s="231"/>
    </row>
    <row r="119" spans="1:17" ht="15.75" hidden="1" customHeight="1">
      <c r="A119" s="232"/>
      <c r="B119" s="54"/>
      <c r="C119" s="55"/>
      <c r="D119" s="56"/>
      <c r="E119" s="57"/>
      <c r="F119" s="55"/>
      <c r="G119" s="56"/>
      <c r="H119" s="58"/>
      <c r="I119" s="119"/>
      <c r="J119" s="59"/>
      <c r="K119" s="60"/>
      <c r="L119" s="61"/>
      <c r="M119" s="62"/>
      <c r="N119" s="63"/>
      <c r="O119" s="232"/>
      <c r="P119" s="232"/>
      <c r="Q119" s="232"/>
    </row>
    <row r="120" spans="1:17" ht="14.25" hidden="1" customHeight="1">
      <c r="A120" s="230">
        <f>A113+1</f>
        <v>16</v>
      </c>
      <c r="B120" s="65">
        <f t="shared" ref="B120:C120" si="15">C120-1</f>
        <v>45222</v>
      </c>
      <c r="C120" s="66">
        <f t="shared" si="15"/>
        <v>45223</v>
      </c>
      <c r="D120" s="233">
        <f>F120-1</f>
        <v>45224</v>
      </c>
      <c r="E120" s="234"/>
      <c r="F120" s="66">
        <f>G120-1</f>
        <v>45225</v>
      </c>
      <c r="G120" s="233">
        <f>I120-1</f>
        <v>45226</v>
      </c>
      <c r="H120" s="234"/>
      <c r="I120" s="66">
        <f>L120-1</f>
        <v>45227</v>
      </c>
      <c r="J120" s="67" t="s">
        <v>11</v>
      </c>
      <c r="K120" s="68" t="s">
        <v>12</v>
      </c>
      <c r="L120" s="239">
        <f>B127-1</f>
        <v>45228</v>
      </c>
      <c r="M120" s="252"/>
      <c r="N120" s="253"/>
      <c r="O120" s="260"/>
      <c r="P120" s="260"/>
      <c r="Q120" s="260"/>
    </row>
    <row r="121" spans="1:17" ht="14.25" hidden="1" customHeight="1">
      <c r="A121" s="231"/>
      <c r="B121" s="70"/>
      <c r="C121" s="71"/>
      <c r="D121" s="235"/>
      <c r="E121" s="236"/>
      <c r="F121" s="71"/>
      <c r="G121" s="235"/>
      <c r="H121" s="236"/>
      <c r="I121" s="71"/>
      <c r="J121" s="115"/>
      <c r="K121" s="115"/>
      <c r="L121" s="286"/>
      <c r="M121" s="247"/>
      <c r="N121" s="248"/>
      <c r="O121" s="231"/>
      <c r="P121" s="231"/>
      <c r="Q121" s="231"/>
    </row>
    <row r="122" spans="1:17" ht="14.25" hidden="1" customHeight="1">
      <c r="A122" s="231"/>
      <c r="B122" s="74"/>
      <c r="C122" s="74"/>
      <c r="D122" s="140"/>
      <c r="E122" s="106"/>
      <c r="F122" s="74"/>
      <c r="G122" s="140"/>
      <c r="H122" s="106"/>
      <c r="I122" s="84"/>
      <c r="J122" s="79"/>
      <c r="K122" s="25"/>
      <c r="L122" s="141"/>
      <c r="M122" s="142"/>
      <c r="N122" s="147"/>
      <c r="O122" s="231"/>
      <c r="P122" s="231"/>
      <c r="Q122" s="231"/>
    </row>
    <row r="123" spans="1:17" ht="14.25" hidden="1" customHeight="1">
      <c r="A123" s="231"/>
      <c r="B123" s="83"/>
      <c r="C123" s="84"/>
      <c r="D123" s="105"/>
      <c r="E123" s="106"/>
      <c r="F123" s="84"/>
      <c r="G123" s="140"/>
      <c r="H123" s="106"/>
      <c r="I123" s="84"/>
      <c r="J123" s="85"/>
      <c r="K123" s="86"/>
      <c r="L123" s="87"/>
      <c r="M123" s="81"/>
      <c r="N123" s="82"/>
      <c r="O123" s="231"/>
      <c r="P123" s="231"/>
      <c r="Q123" s="231"/>
    </row>
    <row r="124" spans="1:17" ht="14.25" hidden="1" customHeight="1">
      <c r="A124" s="231"/>
      <c r="B124" s="88"/>
      <c r="C124" s="84"/>
      <c r="D124" s="77"/>
      <c r="E124" s="78"/>
      <c r="F124" s="84"/>
      <c r="G124" s="140"/>
      <c r="H124" s="106"/>
      <c r="I124" s="74"/>
      <c r="J124" s="85"/>
      <c r="K124" s="86"/>
      <c r="L124" s="87"/>
      <c r="M124" s="81"/>
      <c r="N124" s="82"/>
      <c r="O124" s="231"/>
      <c r="P124" s="231"/>
      <c r="Q124" s="231"/>
    </row>
    <row r="125" spans="1:17" ht="14.25" hidden="1" customHeight="1">
      <c r="A125" s="231"/>
      <c r="B125" s="89"/>
      <c r="C125" s="84"/>
      <c r="D125" s="77"/>
      <c r="E125" s="78"/>
      <c r="F125" s="84"/>
      <c r="G125" s="77"/>
      <c r="H125" s="78"/>
      <c r="I125" s="84"/>
      <c r="J125" s="85"/>
      <c r="K125" s="86"/>
      <c r="L125" s="87"/>
      <c r="M125" s="81"/>
      <c r="N125" s="82"/>
      <c r="O125" s="231"/>
      <c r="P125" s="231"/>
      <c r="Q125" s="231"/>
    </row>
    <row r="126" spans="1:17" ht="14.25" hidden="1" customHeight="1">
      <c r="A126" s="232"/>
      <c r="B126" s="90"/>
      <c r="C126" s="91"/>
      <c r="D126" s="92"/>
      <c r="E126" s="93"/>
      <c r="F126" s="94"/>
      <c r="G126" s="92"/>
      <c r="H126" s="109"/>
      <c r="I126" s="94"/>
      <c r="J126" s="95"/>
      <c r="K126" s="96"/>
      <c r="L126" s="97"/>
      <c r="M126" s="98"/>
      <c r="N126" s="99"/>
      <c r="O126" s="232"/>
      <c r="P126" s="232"/>
      <c r="Q126" s="232"/>
    </row>
    <row r="127" spans="1:17" ht="14.25" hidden="1" customHeight="1">
      <c r="A127" s="230">
        <f>A120+1</f>
        <v>17</v>
      </c>
      <c r="B127" s="33">
        <f t="shared" ref="B127:C127" si="16">C127-1</f>
        <v>45229</v>
      </c>
      <c r="C127" s="110">
        <f t="shared" si="16"/>
        <v>45230</v>
      </c>
      <c r="D127" s="237">
        <f>F127-1</f>
        <v>45231</v>
      </c>
      <c r="E127" s="238"/>
      <c r="F127" s="110">
        <f>G127-1</f>
        <v>45232</v>
      </c>
      <c r="G127" s="237">
        <f>I127-1</f>
        <v>45233</v>
      </c>
      <c r="H127" s="238"/>
      <c r="I127" s="110">
        <f>L127-1</f>
        <v>45234</v>
      </c>
      <c r="J127" s="126"/>
      <c r="K127" s="126"/>
      <c r="L127" s="237">
        <f>'NYC Marathon'!L127:N127</f>
        <v>45235</v>
      </c>
      <c r="M127" s="252"/>
      <c r="N127" s="253"/>
      <c r="O127" s="259"/>
      <c r="P127" s="259"/>
      <c r="Q127" s="259"/>
    </row>
    <row r="128" spans="1:17" ht="14.25" hidden="1" customHeight="1">
      <c r="A128" s="231"/>
      <c r="B128" s="127"/>
      <c r="C128" s="37"/>
      <c r="D128" s="243"/>
      <c r="E128" s="236"/>
      <c r="F128" s="37"/>
      <c r="G128" s="243"/>
      <c r="H128" s="236"/>
      <c r="I128" s="37"/>
      <c r="J128" s="128"/>
      <c r="K128" s="128"/>
      <c r="L128" s="265"/>
      <c r="M128" s="247"/>
      <c r="N128" s="248"/>
      <c r="O128" s="231"/>
      <c r="P128" s="231"/>
      <c r="Q128" s="231"/>
    </row>
    <row r="129" spans="1:17" ht="14.25" hidden="1" customHeight="1">
      <c r="A129" s="231"/>
      <c r="B129" s="53"/>
      <c r="C129" s="41"/>
      <c r="D129" s="42"/>
      <c r="E129" s="43"/>
      <c r="F129" s="41"/>
      <c r="G129" s="42"/>
      <c r="H129" s="43"/>
      <c r="I129" s="41"/>
      <c r="J129" s="129"/>
      <c r="K129" s="129"/>
      <c r="L129" s="130"/>
      <c r="M129" s="47"/>
      <c r="N129" s="48"/>
      <c r="O129" s="231"/>
      <c r="P129" s="231"/>
      <c r="Q129" s="231"/>
    </row>
    <row r="130" spans="1:17" ht="14.25" hidden="1" customHeight="1">
      <c r="A130" s="231"/>
      <c r="B130" s="53"/>
      <c r="C130" s="49"/>
      <c r="D130" s="42"/>
      <c r="E130" s="43"/>
      <c r="F130" s="49"/>
      <c r="G130" s="42"/>
      <c r="H130" s="43"/>
      <c r="I130" s="49"/>
      <c r="J130" s="129"/>
      <c r="K130" s="129"/>
      <c r="L130" s="121"/>
      <c r="M130" s="122"/>
      <c r="N130" s="123"/>
      <c r="O130" s="231"/>
      <c r="P130" s="231"/>
      <c r="Q130" s="231"/>
    </row>
    <row r="131" spans="1:17" ht="14.25" hidden="1" customHeight="1">
      <c r="A131" s="231"/>
      <c r="B131" s="53"/>
      <c r="C131" s="49"/>
      <c r="D131" s="42"/>
      <c r="E131" s="43"/>
      <c r="F131" s="49"/>
      <c r="G131" s="42"/>
      <c r="H131" s="104"/>
      <c r="I131" s="118"/>
      <c r="J131" s="129"/>
      <c r="K131" s="129"/>
      <c r="L131" s="277"/>
      <c r="M131" s="275"/>
      <c r="N131" s="276"/>
      <c r="O131" s="231"/>
      <c r="P131" s="231"/>
      <c r="Q131" s="231"/>
    </row>
    <row r="132" spans="1:17" ht="14.25" hidden="1" customHeight="1">
      <c r="A132" s="231"/>
      <c r="B132" s="53"/>
      <c r="C132" s="49"/>
      <c r="D132" s="42"/>
      <c r="E132" s="43"/>
      <c r="F132" s="49"/>
      <c r="G132" s="42"/>
      <c r="H132" s="104"/>
      <c r="I132" s="118"/>
      <c r="J132" s="129"/>
      <c r="K132" s="129"/>
      <c r="L132" s="52"/>
      <c r="M132" s="47"/>
      <c r="N132" s="48"/>
      <c r="O132" s="231"/>
      <c r="P132" s="231"/>
      <c r="Q132" s="231"/>
    </row>
    <row r="133" spans="1:17" ht="14.25" hidden="1" customHeight="1">
      <c r="A133" s="232"/>
      <c r="B133" s="54"/>
      <c r="C133" s="55"/>
      <c r="D133" s="56"/>
      <c r="E133" s="57"/>
      <c r="F133" s="55"/>
      <c r="G133" s="56"/>
      <c r="H133" s="58"/>
      <c r="I133" s="119"/>
      <c r="J133" s="132"/>
      <c r="K133" s="132"/>
      <c r="L133" s="61"/>
      <c r="M133" s="62"/>
      <c r="N133" s="63"/>
      <c r="O133" s="232"/>
      <c r="P133" s="232"/>
      <c r="Q133" s="232"/>
    </row>
    <row r="134" spans="1:17" ht="14.25" customHeight="1">
      <c r="A134" s="22"/>
      <c r="B134" s="133"/>
      <c r="C134" s="134"/>
      <c r="D134" s="24"/>
      <c r="E134" s="23"/>
      <c r="F134" s="23"/>
      <c r="G134" s="24"/>
      <c r="H134" s="23"/>
      <c r="I134" s="23"/>
      <c r="J134" s="25"/>
      <c r="K134" s="25"/>
      <c r="L134" s="23"/>
      <c r="M134" s="135"/>
      <c r="N134" s="135"/>
      <c r="O134" s="23"/>
      <c r="P134" s="23"/>
      <c r="Q134" s="23"/>
    </row>
    <row r="135" spans="1:17" ht="14.25" customHeight="1">
      <c r="A135" s="22"/>
      <c r="B135" s="136"/>
      <c r="C135" s="134"/>
      <c r="D135" s="24"/>
      <c r="E135" s="23"/>
      <c r="F135" s="23"/>
      <c r="G135" s="24"/>
      <c r="H135" s="23"/>
      <c r="I135" s="23"/>
      <c r="J135" s="25"/>
      <c r="K135" s="25"/>
      <c r="L135" s="23"/>
      <c r="M135" s="135"/>
      <c r="N135" s="135"/>
      <c r="O135" s="23"/>
      <c r="P135" s="23"/>
      <c r="Q135" s="23"/>
    </row>
    <row r="136" spans="1:17" ht="14.25" customHeight="1">
      <c r="A136" s="22"/>
      <c r="B136" s="136"/>
      <c r="C136" s="134"/>
      <c r="D136" s="24"/>
      <c r="E136" s="23"/>
      <c r="F136" s="23"/>
      <c r="G136" s="24"/>
      <c r="H136" s="23"/>
      <c r="I136" s="23"/>
      <c r="J136" s="25"/>
      <c r="K136" s="25"/>
      <c r="L136" s="23"/>
      <c r="M136" s="135"/>
      <c r="N136" s="135"/>
      <c r="O136" s="23"/>
      <c r="P136" s="23"/>
      <c r="Q136" s="23"/>
    </row>
    <row r="137" spans="1:17" ht="14.25" customHeight="1">
      <c r="A137" s="22"/>
      <c r="B137" s="136"/>
      <c r="C137" s="134"/>
      <c r="D137" s="24"/>
      <c r="E137" s="23"/>
      <c r="F137" s="23"/>
      <c r="G137" s="24"/>
      <c r="H137" s="23"/>
      <c r="I137" s="23"/>
      <c r="J137" s="25"/>
      <c r="K137" s="25"/>
      <c r="L137" s="23"/>
      <c r="M137" s="135"/>
      <c r="N137" s="135"/>
      <c r="O137" s="23"/>
      <c r="P137" s="23"/>
      <c r="Q137" s="23"/>
    </row>
    <row r="138" spans="1:17" ht="14.25" customHeight="1">
      <c r="A138" s="22"/>
      <c r="B138" s="136"/>
      <c r="C138" s="134"/>
      <c r="D138" s="24"/>
      <c r="E138" s="23"/>
      <c r="F138" s="23"/>
      <c r="G138" s="24"/>
      <c r="H138" s="23"/>
      <c r="I138" s="23"/>
      <c r="J138" s="25"/>
      <c r="K138" s="25"/>
      <c r="L138" s="23"/>
      <c r="M138" s="135"/>
      <c r="N138" s="135"/>
      <c r="O138" s="23"/>
      <c r="P138" s="23"/>
      <c r="Q138" s="23"/>
    </row>
    <row r="139" spans="1:17" ht="14.25" customHeight="1">
      <c r="A139" s="22"/>
      <c r="B139" s="136"/>
      <c r="C139" s="134"/>
      <c r="D139" s="24"/>
      <c r="E139" s="23"/>
      <c r="F139" s="23"/>
      <c r="G139" s="24"/>
      <c r="H139" s="23"/>
      <c r="I139" s="23"/>
      <c r="J139" s="25"/>
      <c r="K139" s="25"/>
      <c r="L139" s="23"/>
      <c r="M139" s="135"/>
      <c r="N139" s="135"/>
      <c r="O139" s="23"/>
      <c r="P139" s="23"/>
      <c r="Q139" s="23"/>
    </row>
    <row r="140" spans="1:17" ht="14.25" customHeight="1">
      <c r="A140" s="22"/>
      <c r="B140" s="136"/>
      <c r="C140" s="134"/>
      <c r="D140" s="24"/>
      <c r="E140" s="23"/>
      <c r="F140" s="23"/>
      <c r="G140" s="24"/>
      <c r="H140" s="23"/>
      <c r="I140" s="23"/>
      <c r="J140" s="25"/>
      <c r="K140" s="25"/>
      <c r="L140" s="23"/>
      <c r="M140" s="135"/>
      <c r="N140" s="135"/>
      <c r="O140" s="23"/>
      <c r="P140" s="23"/>
      <c r="Q140" s="23"/>
    </row>
    <row r="141" spans="1:17" ht="14.25" customHeight="1">
      <c r="A141" s="22"/>
      <c r="B141" s="136"/>
      <c r="C141" s="134"/>
      <c r="D141" s="24"/>
      <c r="E141" s="23"/>
      <c r="F141" s="23"/>
      <c r="G141" s="24"/>
      <c r="H141" s="23"/>
      <c r="I141" s="23"/>
      <c r="J141" s="25"/>
      <c r="K141" s="25"/>
      <c r="L141" s="23"/>
      <c r="M141" s="135"/>
      <c r="N141" s="135"/>
      <c r="O141" s="23"/>
      <c r="P141" s="23"/>
      <c r="Q141" s="23"/>
    </row>
    <row r="142" spans="1:17" ht="14.25" customHeight="1">
      <c r="A142" s="22"/>
      <c r="B142" s="136"/>
      <c r="C142" s="134"/>
      <c r="D142" s="24"/>
      <c r="E142" s="23"/>
      <c r="F142" s="23"/>
      <c r="G142" s="24"/>
      <c r="H142" s="23"/>
      <c r="I142" s="23"/>
      <c r="J142" s="25"/>
      <c r="K142" s="25"/>
      <c r="L142" s="23"/>
      <c r="M142" s="135"/>
      <c r="N142" s="135"/>
      <c r="O142" s="23"/>
      <c r="P142" s="23"/>
      <c r="Q142" s="23"/>
    </row>
    <row r="143" spans="1:17" ht="14.25" customHeight="1">
      <c r="A143" s="22"/>
      <c r="B143" s="136"/>
      <c r="C143" s="134"/>
      <c r="D143" s="24"/>
      <c r="E143" s="23"/>
      <c r="F143" s="23"/>
      <c r="G143" s="24"/>
      <c r="H143" s="23"/>
      <c r="I143" s="23"/>
      <c r="J143" s="25"/>
      <c r="K143" s="25"/>
      <c r="L143" s="23"/>
      <c r="M143" s="135"/>
      <c r="N143" s="135"/>
      <c r="O143" s="23"/>
      <c r="P143" s="23"/>
      <c r="Q143" s="23"/>
    </row>
    <row r="144" spans="1:17" ht="14.25" customHeight="1">
      <c r="A144" s="22"/>
      <c r="B144" s="23"/>
      <c r="C144" s="23"/>
      <c r="D144" s="24"/>
      <c r="E144" s="23"/>
      <c r="F144" s="23"/>
      <c r="G144" s="24"/>
      <c r="H144" s="23"/>
      <c r="I144" s="23"/>
      <c r="J144" s="25"/>
      <c r="K144" s="25"/>
      <c r="L144" s="23"/>
      <c r="M144" s="135"/>
      <c r="N144" s="135"/>
      <c r="O144" s="23"/>
      <c r="P144" s="23"/>
      <c r="Q144" s="23"/>
    </row>
    <row r="145" spans="1:17" ht="14.25" customHeight="1">
      <c r="A145" s="22"/>
      <c r="B145" s="23"/>
      <c r="C145" s="23"/>
      <c r="D145" s="24"/>
      <c r="E145" s="23"/>
      <c r="F145" s="23"/>
      <c r="G145" s="24"/>
      <c r="H145" s="23"/>
      <c r="I145" s="23"/>
      <c r="J145" s="25"/>
      <c r="K145" s="25"/>
      <c r="L145" s="23"/>
      <c r="M145" s="135"/>
      <c r="N145" s="135"/>
      <c r="O145" s="23"/>
      <c r="P145" s="23"/>
      <c r="Q145" s="23"/>
    </row>
    <row r="146" spans="1:17" ht="14.25" customHeight="1">
      <c r="A146" s="22"/>
      <c r="B146" s="23"/>
      <c r="C146" s="23"/>
      <c r="D146" s="24"/>
      <c r="E146" s="23"/>
      <c r="F146" s="23"/>
      <c r="G146" s="24"/>
      <c r="H146" s="23"/>
      <c r="I146" s="23"/>
      <c r="J146" s="25"/>
      <c r="K146" s="25"/>
      <c r="L146" s="23"/>
      <c r="M146" s="135"/>
      <c r="N146" s="135"/>
      <c r="O146" s="23"/>
      <c r="P146" s="23"/>
      <c r="Q146" s="23"/>
    </row>
    <row r="147" spans="1:17" ht="14.25" customHeight="1">
      <c r="A147" s="22"/>
      <c r="B147" s="23"/>
      <c r="C147" s="23"/>
      <c r="D147" s="24"/>
      <c r="E147" s="23"/>
      <c r="F147" s="23"/>
      <c r="G147" s="24"/>
      <c r="H147" s="23"/>
      <c r="I147" s="23"/>
      <c r="J147" s="25"/>
      <c r="K147" s="25"/>
      <c r="L147" s="23"/>
      <c r="M147" s="135"/>
      <c r="N147" s="135"/>
      <c r="O147" s="23"/>
      <c r="P147" s="23"/>
      <c r="Q147" s="23"/>
    </row>
    <row r="148" spans="1:17" ht="14.25" customHeight="1">
      <c r="A148" s="22"/>
      <c r="B148" s="23"/>
      <c r="C148" s="23"/>
      <c r="D148" s="24"/>
      <c r="E148" s="23"/>
      <c r="F148" s="23"/>
      <c r="G148" s="24"/>
      <c r="H148" s="23"/>
      <c r="I148" s="23"/>
      <c r="J148" s="25"/>
      <c r="K148" s="25"/>
      <c r="L148" s="23"/>
      <c r="M148" s="135"/>
      <c r="N148" s="135"/>
      <c r="O148" s="23"/>
      <c r="P148" s="23"/>
      <c r="Q148" s="23"/>
    </row>
    <row r="149" spans="1:17" ht="14.25" customHeight="1">
      <c r="A149" s="22"/>
      <c r="B149" s="23"/>
      <c r="C149" s="23"/>
      <c r="D149" s="24"/>
      <c r="E149" s="23"/>
      <c r="F149" s="23"/>
      <c r="G149" s="24"/>
      <c r="H149" s="23"/>
      <c r="I149" s="23"/>
      <c r="J149" s="25"/>
      <c r="K149" s="25"/>
      <c r="L149" s="23"/>
      <c r="M149" s="135"/>
      <c r="N149" s="135"/>
      <c r="O149" s="23"/>
      <c r="P149" s="23"/>
      <c r="Q149" s="23"/>
    </row>
    <row r="150" spans="1:17" ht="14.25" customHeight="1">
      <c r="A150" s="22"/>
      <c r="B150" s="23"/>
      <c r="C150" s="23"/>
      <c r="D150" s="24"/>
      <c r="E150" s="23"/>
      <c r="F150" s="23"/>
      <c r="G150" s="24"/>
      <c r="H150" s="23"/>
      <c r="I150" s="23"/>
      <c r="J150" s="25"/>
      <c r="K150" s="25"/>
      <c r="L150" s="23"/>
      <c r="M150" s="135"/>
      <c r="N150" s="135"/>
      <c r="O150" s="23"/>
      <c r="P150" s="23"/>
      <c r="Q150" s="23"/>
    </row>
    <row r="151" spans="1:17" ht="14.25" customHeight="1">
      <c r="A151" s="22"/>
      <c r="B151" s="23"/>
      <c r="C151" s="23"/>
      <c r="D151" s="24"/>
      <c r="E151" s="23"/>
      <c r="F151" s="23"/>
      <c r="G151" s="24"/>
      <c r="H151" s="23"/>
      <c r="I151" s="23"/>
      <c r="J151" s="25"/>
      <c r="K151" s="25"/>
      <c r="L151" s="23"/>
      <c r="M151" s="135"/>
      <c r="N151" s="135"/>
      <c r="O151" s="23"/>
      <c r="P151" s="23"/>
      <c r="Q151" s="23"/>
    </row>
    <row r="152" spans="1:17" ht="14.25" customHeight="1">
      <c r="A152" s="22"/>
      <c r="B152" s="23"/>
      <c r="C152" s="23"/>
      <c r="D152" s="24"/>
      <c r="E152" s="23"/>
      <c r="F152" s="23"/>
      <c r="G152" s="24"/>
      <c r="H152" s="23"/>
      <c r="I152" s="23"/>
      <c r="J152" s="25"/>
      <c r="K152" s="25"/>
      <c r="L152" s="23"/>
      <c r="M152" s="135"/>
      <c r="N152" s="135"/>
      <c r="O152" s="23"/>
      <c r="P152" s="23"/>
      <c r="Q152" s="23"/>
    </row>
    <row r="153" spans="1:17" ht="14.25" customHeight="1">
      <c r="A153" s="22"/>
      <c r="B153" s="23"/>
      <c r="C153" s="23"/>
      <c r="D153" s="24"/>
      <c r="E153" s="23"/>
      <c r="F153" s="23"/>
      <c r="G153" s="24"/>
      <c r="H153" s="23"/>
      <c r="I153" s="23"/>
      <c r="J153" s="25"/>
      <c r="K153" s="25"/>
      <c r="L153" s="23"/>
      <c r="M153" s="135"/>
      <c r="N153" s="135"/>
      <c r="O153" s="23"/>
      <c r="P153" s="23"/>
      <c r="Q153" s="23"/>
    </row>
    <row r="154" spans="1:17" ht="14.25" customHeight="1">
      <c r="A154" s="22"/>
      <c r="B154" s="23"/>
      <c r="C154" s="23"/>
      <c r="D154" s="24"/>
      <c r="E154" s="23"/>
      <c r="F154" s="23"/>
      <c r="G154" s="24"/>
      <c r="H154" s="23"/>
      <c r="I154" s="23"/>
      <c r="J154" s="25"/>
      <c r="K154" s="25"/>
      <c r="L154" s="23"/>
      <c r="M154" s="135"/>
      <c r="N154" s="135"/>
      <c r="O154" s="23"/>
      <c r="P154" s="23"/>
      <c r="Q154" s="23"/>
    </row>
    <row r="155" spans="1:17" ht="14.25" customHeight="1">
      <c r="A155" s="22"/>
      <c r="B155" s="23"/>
      <c r="C155" s="23"/>
      <c r="D155" s="24"/>
      <c r="E155" s="23"/>
      <c r="F155" s="23"/>
      <c r="G155" s="24"/>
      <c r="H155" s="23"/>
      <c r="I155" s="23"/>
      <c r="J155" s="25"/>
      <c r="K155" s="25"/>
      <c r="L155" s="23"/>
      <c r="M155" s="135"/>
      <c r="N155" s="135"/>
      <c r="O155" s="23"/>
      <c r="P155" s="23"/>
      <c r="Q155" s="23"/>
    </row>
    <row r="156" spans="1:17" ht="14.25" customHeight="1">
      <c r="A156" s="22"/>
      <c r="B156" s="23"/>
      <c r="C156" s="23"/>
      <c r="D156" s="24"/>
      <c r="E156" s="23"/>
      <c r="F156" s="23"/>
      <c r="G156" s="24"/>
      <c r="H156" s="23"/>
      <c r="I156" s="23"/>
      <c r="J156" s="25"/>
      <c r="K156" s="25"/>
      <c r="L156" s="23"/>
      <c r="M156" s="135"/>
      <c r="N156" s="135"/>
      <c r="O156" s="23"/>
      <c r="P156" s="23"/>
      <c r="Q156" s="23"/>
    </row>
    <row r="157" spans="1:17" ht="14.25" customHeight="1">
      <c r="A157" s="22"/>
      <c r="B157" s="23"/>
      <c r="C157" s="23"/>
      <c r="D157" s="24"/>
      <c r="E157" s="23"/>
      <c r="F157" s="23"/>
      <c r="G157" s="24"/>
      <c r="H157" s="23"/>
      <c r="I157" s="23"/>
      <c r="J157" s="25"/>
      <c r="K157" s="25"/>
      <c r="L157" s="23"/>
      <c r="M157" s="135"/>
      <c r="N157" s="135"/>
      <c r="O157" s="23"/>
      <c r="P157" s="23"/>
      <c r="Q157" s="23"/>
    </row>
    <row r="158" spans="1:17" ht="14.25" customHeight="1">
      <c r="A158" s="22"/>
      <c r="B158" s="23"/>
      <c r="C158" s="23"/>
      <c r="D158" s="24"/>
      <c r="E158" s="23"/>
      <c r="F158" s="23"/>
      <c r="G158" s="24"/>
      <c r="H158" s="23"/>
      <c r="I158" s="23"/>
      <c r="J158" s="25"/>
      <c r="K158" s="25"/>
      <c r="L158" s="23"/>
      <c r="M158" s="135"/>
      <c r="N158" s="135"/>
      <c r="O158" s="23"/>
      <c r="P158" s="23"/>
      <c r="Q158" s="23"/>
    </row>
    <row r="159" spans="1:17" ht="14.25" customHeight="1">
      <c r="A159" s="22"/>
      <c r="B159" s="23"/>
      <c r="C159" s="23"/>
      <c r="D159" s="24"/>
      <c r="E159" s="23"/>
      <c r="F159" s="23"/>
      <c r="G159" s="24"/>
      <c r="H159" s="23"/>
      <c r="I159" s="23"/>
      <c r="J159" s="25"/>
      <c r="K159" s="25"/>
      <c r="L159" s="23"/>
      <c r="M159" s="135"/>
      <c r="N159" s="135"/>
      <c r="O159" s="23"/>
      <c r="P159" s="23"/>
      <c r="Q159" s="23"/>
    </row>
    <row r="160" spans="1:17" ht="14.25" customHeight="1">
      <c r="A160" s="22"/>
      <c r="B160" s="23"/>
      <c r="C160" s="23"/>
      <c r="D160" s="24"/>
      <c r="E160" s="23"/>
      <c r="F160" s="23"/>
      <c r="G160" s="24"/>
      <c r="H160" s="23"/>
      <c r="I160" s="23"/>
      <c r="J160" s="25"/>
      <c r="K160" s="25"/>
      <c r="L160" s="23"/>
      <c r="M160" s="135"/>
      <c r="N160" s="135"/>
      <c r="O160" s="23"/>
      <c r="P160" s="23"/>
      <c r="Q160" s="23"/>
    </row>
    <row r="161" spans="1:17" ht="14.25" customHeight="1">
      <c r="A161" s="22"/>
      <c r="B161" s="23"/>
      <c r="C161" s="23"/>
      <c r="D161" s="24"/>
      <c r="E161" s="23"/>
      <c r="F161" s="23"/>
      <c r="G161" s="24"/>
      <c r="H161" s="23"/>
      <c r="I161" s="23"/>
      <c r="J161" s="25"/>
      <c r="K161" s="25"/>
      <c r="L161" s="23"/>
      <c r="M161" s="135"/>
      <c r="N161" s="135"/>
      <c r="O161" s="23"/>
      <c r="P161" s="23"/>
      <c r="Q161" s="23"/>
    </row>
    <row r="162" spans="1:17" ht="14.25" customHeight="1">
      <c r="A162" s="22"/>
      <c r="B162" s="23"/>
      <c r="C162" s="23"/>
      <c r="D162" s="24"/>
      <c r="E162" s="23"/>
      <c r="F162" s="23"/>
      <c r="G162" s="24"/>
      <c r="H162" s="23"/>
      <c r="I162" s="23"/>
      <c r="J162" s="25"/>
      <c r="K162" s="25"/>
      <c r="L162" s="23"/>
      <c r="M162" s="135"/>
      <c r="N162" s="135"/>
      <c r="O162" s="23"/>
      <c r="P162" s="23"/>
      <c r="Q162" s="23"/>
    </row>
    <row r="163" spans="1:17" ht="14.25" customHeight="1">
      <c r="A163" s="22"/>
      <c r="B163" s="23"/>
      <c r="C163" s="23"/>
      <c r="D163" s="24"/>
      <c r="E163" s="23"/>
      <c r="F163" s="23"/>
      <c r="G163" s="24"/>
      <c r="H163" s="23"/>
      <c r="I163" s="23"/>
      <c r="J163" s="25"/>
      <c r="K163" s="25"/>
      <c r="L163" s="23"/>
      <c r="M163" s="135"/>
      <c r="N163" s="135"/>
      <c r="O163" s="23"/>
      <c r="P163" s="23"/>
      <c r="Q163" s="23"/>
    </row>
    <row r="164" spans="1:17" ht="14.25" customHeight="1">
      <c r="A164" s="22"/>
      <c r="B164" s="23"/>
      <c r="C164" s="23"/>
      <c r="D164" s="24"/>
      <c r="E164" s="23"/>
      <c r="F164" s="23"/>
      <c r="G164" s="24"/>
      <c r="H164" s="23"/>
      <c r="I164" s="23"/>
      <c r="J164" s="25"/>
      <c r="K164" s="25"/>
      <c r="L164" s="23"/>
      <c r="M164" s="135"/>
      <c r="N164" s="135"/>
      <c r="O164" s="23"/>
      <c r="P164" s="23"/>
      <c r="Q164" s="23"/>
    </row>
    <row r="165" spans="1:17" ht="14.25" customHeight="1">
      <c r="A165" s="22"/>
      <c r="B165" s="23"/>
      <c r="C165" s="23"/>
      <c r="D165" s="24"/>
      <c r="E165" s="23"/>
      <c r="F165" s="23"/>
      <c r="G165" s="24"/>
      <c r="H165" s="23"/>
      <c r="I165" s="23"/>
      <c r="J165" s="25"/>
      <c r="K165" s="25"/>
      <c r="L165" s="23"/>
      <c r="M165" s="135"/>
      <c r="N165" s="135"/>
      <c r="O165" s="23"/>
      <c r="P165" s="23"/>
      <c r="Q165" s="23"/>
    </row>
    <row r="166" spans="1:17" ht="14.25" customHeight="1">
      <c r="A166" s="22"/>
      <c r="B166" s="23"/>
      <c r="C166" s="23"/>
      <c r="D166" s="24"/>
      <c r="E166" s="23"/>
      <c r="F166" s="23"/>
      <c r="G166" s="24"/>
      <c r="H166" s="23"/>
      <c r="I166" s="23"/>
      <c r="J166" s="25"/>
      <c r="K166" s="25"/>
      <c r="L166" s="23"/>
      <c r="M166" s="135"/>
      <c r="N166" s="135"/>
      <c r="O166" s="23"/>
      <c r="P166" s="23"/>
      <c r="Q166" s="23"/>
    </row>
    <row r="167" spans="1:17" ht="14.25" customHeight="1">
      <c r="A167" s="22"/>
      <c r="B167" s="23"/>
      <c r="C167" s="23"/>
      <c r="D167" s="24"/>
      <c r="E167" s="23"/>
      <c r="F167" s="23"/>
      <c r="G167" s="24"/>
      <c r="H167" s="23"/>
      <c r="I167" s="23"/>
      <c r="J167" s="25"/>
      <c r="K167" s="25"/>
      <c r="L167" s="23"/>
      <c r="M167" s="135"/>
      <c r="N167" s="135"/>
      <c r="O167" s="23"/>
      <c r="P167" s="23"/>
      <c r="Q167" s="23"/>
    </row>
    <row r="168" spans="1:17" ht="14.25" customHeight="1">
      <c r="A168" s="22"/>
      <c r="B168" s="23"/>
      <c r="C168" s="23"/>
      <c r="D168" s="24"/>
      <c r="E168" s="23"/>
      <c r="F168" s="23"/>
      <c r="G168" s="24"/>
      <c r="H168" s="23"/>
      <c r="I168" s="23"/>
      <c r="J168" s="25"/>
      <c r="K168" s="25"/>
      <c r="L168" s="23"/>
      <c r="M168" s="135"/>
      <c r="N168" s="135"/>
      <c r="O168" s="23"/>
      <c r="P168" s="23"/>
      <c r="Q168" s="23"/>
    </row>
    <row r="169" spans="1:17" ht="14.25" customHeight="1">
      <c r="A169" s="22"/>
      <c r="B169" s="23"/>
      <c r="C169" s="23"/>
      <c r="D169" s="24"/>
      <c r="E169" s="23"/>
      <c r="F169" s="23"/>
      <c r="G169" s="24"/>
      <c r="H169" s="23"/>
      <c r="I169" s="23"/>
      <c r="J169" s="25"/>
      <c r="K169" s="25"/>
      <c r="L169" s="23"/>
      <c r="M169" s="135"/>
      <c r="N169" s="135"/>
      <c r="O169" s="23"/>
      <c r="P169" s="23"/>
      <c r="Q169" s="23"/>
    </row>
    <row r="170" spans="1:17" ht="14.25" customHeight="1">
      <c r="A170" s="22"/>
      <c r="B170" s="23"/>
      <c r="C170" s="23"/>
      <c r="D170" s="24"/>
      <c r="E170" s="23"/>
      <c r="F170" s="23"/>
      <c r="G170" s="24"/>
      <c r="H170" s="23"/>
      <c r="I170" s="23"/>
      <c r="J170" s="25"/>
      <c r="K170" s="25"/>
      <c r="L170" s="23"/>
      <c r="M170" s="135"/>
      <c r="N170" s="135"/>
      <c r="O170" s="23"/>
      <c r="P170" s="23"/>
      <c r="Q170" s="23"/>
    </row>
    <row r="171" spans="1:17" ht="14.25" customHeight="1">
      <c r="A171" s="22"/>
      <c r="B171" s="23"/>
      <c r="C171" s="23"/>
      <c r="D171" s="24"/>
      <c r="E171" s="23"/>
      <c r="F171" s="23"/>
      <c r="G171" s="24"/>
      <c r="H171" s="23"/>
      <c r="I171" s="23"/>
      <c r="J171" s="25"/>
      <c r="K171" s="25"/>
      <c r="L171" s="23"/>
      <c r="M171" s="135"/>
      <c r="N171" s="135"/>
      <c r="O171" s="23"/>
      <c r="P171" s="23"/>
      <c r="Q171" s="23"/>
    </row>
    <row r="172" spans="1:17" ht="14.25" customHeight="1">
      <c r="A172" s="22"/>
      <c r="B172" s="23"/>
      <c r="C172" s="23"/>
      <c r="D172" s="24"/>
      <c r="E172" s="23"/>
      <c r="F172" s="23"/>
      <c r="G172" s="24"/>
      <c r="H172" s="23"/>
      <c r="I172" s="23"/>
      <c r="J172" s="25"/>
      <c r="K172" s="25"/>
      <c r="L172" s="23"/>
      <c r="M172" s="135"/>
      <c r="N172" s="135"/>
      <c r="O172" s="23"/>
      <c r="P172" s="23"/>
      <c r="Q172" s="23"/>
    </row>
    <row r="173" spans="1:17" ht="14.25" customHeight="1">
      <c r="A173" s="22"/>
      <c r="B173" s="23"/>
      <c r="C173" s="23"/>
      <c r="D173" s="24"/>
      <c r="E173" s="23"/>
      <c r="F173" s="23"/>
      <c r="G173" s="24"/>
      <c r="H173" s="23"/>
      <c r="I173" s="23"/>
      <c r="J173" s="25"/>
      <c r="K173" s="25"/>
      <c r="L173" s="23"/>
      <c r="M173" s="135"/>
      <c r="N173" s="135"/>
      <c r="O173" s="23"/>
      <c r="P173" s="23"/>
      <c r="Q173" s="23"/>
    </row>
    <row r="174" spans="1:17" ht="14.25" customHeight="1">
      <c r="A174" s="22"/>
      <c r="B174" s="23"/>
      <c r="C174" s="23"/>
      <c r="D174" s="24"/>
      <c r="E174" s="23"/>
      <c r="F174" s="23"/>
      <c r="G174" s="24"/>
      <c r="H174" s="23"/>
      <c r="I174" s="23"/>
      <c r="J174" s="25"/>
      <c r="K174" s="25"/>
      <c r="L174" s="23"/>
      <c r="M174" s="135"/>
      <c r="N174" s="135"/>
      <c r="O174" s="23"/>
      <c r="P174" s="23"/>
      <c r="Q174" s="23"/>
    </row>
    <row r="175" spans="1:17" ht="14.25" customHeight="1">
      <c r="A175" s="22"/>
      <c r="B175" s="23"/>
      <c r="C175" s="23"/>
      <c r="D175" s="24"/>
      <c r="E175" s="23"/>
      <c r="F175" s="23"/>
      <c r="G175" s="24"/>
      <c r="H175" s="23"/>
      <c r="I175" s="23"/>
      <c r="J175" s="25"/>
      <c r="K175" s="25"/>
      <c r="L175" s="23"/>
      <c r="M175" s="135"/>
      <c r="N175" s="135"/>
      <c r="O175" s="23"/>
      <c r="P175" s="23"/>
      <c r="Q175" s="23"/>
    </row>
    <row r="176" spans="1:17" ht="14.25" customHeight="1">
      <c r="A176" s="22"/>
      <c r="B176" s="23"/>
      <c r="C176" s="23"/>
      <c r="D176" s="24"/>
      <c r="E176" s="23"/>
      <c r="F176" s="23"/>
      <c r="G176" s="24"/>
      <c r="H176" s="23"/>
      <c r="I176" s="23"/>
      <c r="J176" s="25"/>
      <c r="K176" s="25"/>
      <c r="L176" s="23"/>
      <c r="M176" s="135"/>
      <c r="N176" s="135"/>
      <c r="O176" s="23"/>
      <c r="P176" s="23"/>
      <c r="Q176" s="23"/>
    </row>
    <row r="177" spans="1:17" ht="14.25" customHeight="1">
      <c r="A177" s="22"/>
      <c r="B177" s="23"/>
      <c r="C177" s="23"/>
      <c r="D177" s="24"/>
      <c r="E177" s="23"/>
      <c r="F177" s="23"/>
      <c r="G177" s="24"/>
      <c r="H177" s="23"/>
      <c r="I177" s="23"/>
      <c r="J177" s="25"/>
      <c r="K177" s="25"/>
      <c r="L177" s="23"/>
      <c r="M177" s="135"/>
      <c r="N177" s="135"/>
      <c r="O177" s="23"/>
      <c r="P177" s="23"/>
      <c r="Q177" s="23"/>
    </row>
    <row r="178" spans="1:17" ht="14.25" customHeight="1">
      <c r="A178" s="22"/>
      <c r="B178" s="23"/>
      <c r="C178" s="23"/>
      <c r="D178" s="24"/>
      <c r="E178" s="23"/>
      <c r="F178" s="23"/>
      <c r="G178" s="24"/>
      <c r="H178" s="23"/>
      <c r="I178" s="23"/>
      <c r="J178" s="25"/>
      <c r="K178" s="25"/>
      <c r="L178" s="23"/>
      <c r="M178" s="135"/>
      <c r="N178" s="135"/>
      <c r="O178" s="23"/>
      <c r="P178" s="23"/>
      <c r="Q178" s="23"/>
    </row>
    <row r="179" spans="1:17" ht="14.25" customHeight="1">
      <c r="A179" s="22"/>
      <c r="B179" s="23"/>
      <c r="C179" s="23"/>
      <c r="D179" s="24"/>
      <c r="E179" s="23"/>
      <c r="F179" s="23"/>
      <c r="G179" s="24"/>
      <c r="H179" s="23"/>
      <c r="I179" s="23"/>
      <c r="J179" s="25"/>
      <c r="K179" s="25"/>
      <c r="L179" s="23"/>
      <c r="M179" s="135"/>
      <c r="N179" s="135"/>
      <c r="O179" s="23"/>
      <c r="P179" s="23"/>
      <c r="Q179" s="23"/>
    </row>
    <row r="180" spans="1:17" ht="14.25" customHeight="1">
      <c r="A180" s="22"/>
      <c r="B180" s="23"/>
      <c r="C180" s="23"/>
      <c r="D180" s="24"/>
      <c r="E180" s="23"/>
      <c r="F180" s="23"/>
      <c r="G180" s="24"/>
      <c r="H180" s="23"/>
      <c r="I180" s="23"/>
      <c r="J180" s="25"/>
      <c r="K180" s="25"/>
      <c r="L180" s="23"/>
      <c r="M180" s="135"/>
      <c r="N180" s="135"/>
      <c r="O180" s="23"/>
      <c r="P180" s="23"/>
      <c r="Q180" s="23"/>
    </row>
    <row r="181" spans="1:17" ht="14.25" customHeight="1">
      <c r="A181" s="22"/>
      <c r="B181" s="23"/>
      <c r="C181" s="23"/>
      <c r="D181" s="24"/>
      <c r="E181" s="23"/>
      <c r="F181" s="23"/>
      <c r="G181" s="24"/>
      <c r="H181" s="23"/>
      <c r="I181" s="23"/>
      <c r="J181" s="25"/>
      <c r="K181" s="25"/>
      <c r="L181" s="23"/>
      <c r="M181" s="135"/>
      <c r="N181" s="135"/>
      <c r="O181" s="23"/>
      <c r="P181" s="23"/>
      <c r="Q181" s="23"/>
    </row>
    <row r="182" spans="1:17" ht="14.25" customHeight="1">
      <c r="A182" s="22"/>
      <c r="B182" s="23"/>
      <c r="C182" s="23"/>
      <c r="D182" s="24"/>
      <c r="E182" s="23"/>
      <c r="F182" s="23"/>
      <c r="G182" s="24"/>
      <c r="H182" s="23"/>
      <c r="I182" s="23"/>
      <c r="J182" s="25"/>
      <c r="K182" s="25"/>
      <c r="L182" s="23"/>
      <c r="M182" s="135"/>
      <c r="N182" s="135"/>
      <c r="O182" s="23"/>
      <c r="P182" s="23"/>
      <c r="Q182" s="23"/>
    </row>
    <row r="183" spans="1:17" ht="14.25" customHeight="1">
      <c r="A183" s="22"/>
      <c r="B183" s="23"/>
      <c r="C183" s="23"/>
      <c r="D183" s="24"/>
      <c r="E183" s="23"/>
      <c r="F183" s="23"/>
      <c r="G183" s="24"/>
      <c r="H183" s="23"/>
      <c r="I183" s="23"/>
      <c r="J183" s="25"/>
      <c r="K183" s="25"/>
      <c r="L183" s="23"/>
      <c r="M183" s="135"/>
      <c r="N183" s="135"/>
      <c r="O183" s="23"/>
      <c r="P183" s="23"/>
      <c r="Q183" s="23"/>
    </row>
    <row r="184" spans="1:17" ht="14.25" customHeight="1">
      <c r="A184" s="22"/>
      <c r="B184" s="23"/>
      <c r="C184" s="23"/>
      <c r="D184" s="24"/>
      <c r="E184" s="23"/>
      <c r="F184" s="23"/>
      <c r="G184" s="24"/>
      <c r="H184" s="23"/>
      <c r="I184" s="23"/>
      <c r="J184" s="25"/>
      <c r="K184" s="25"/>
      <c r="L184" s="23"/>
      <c r="M184" s="135"/>
      <c r="N184" s="135"/>
      <c r="O184" s="23"/>
      <c r="P184" s="23"/>
      <c r="Q184" s="23"/>
    </row>
    <row r="185" spans="1:17" ht="14.25" customHeight="1">
      <c r="A185" s="22"/>
      <c r="B185" s="23"/>
      <c r="C185" s="23"/>
      <c r="D185" s="24"/>
      <c r="E185" s="23"/>
      <c r="F185" s="23"/>
      <c r="G185" s="24"/>
      <c r="H185" s="23"/>
      <c r="I185" s="23"/>
      <c r="J185" s="25"/>
      <c r="K185" s="25"/>
      <c r="L185" s="23"/>
      <c r="M185" s="135"/>
      <c r="N185" s="135"/>
      <c r="O185" s="23"/>
      <c r="P185" s="23"/>
      <c r="Q185" s="23"/>
    </row>
    <row r="186" spans="1:17" ht="14.25" customHeight="1">
      <c r="A186" s="22"/>
      <c r="B186" s="23"/>
      <c r="C186" s="23"/>
      <c r="D186" s="24"/>
      <c r="E186" s="23"/>
      <c r="F186" s="23"/>
      <c r="G186" s="24"/>
      <c r="H186" s="23"/>
      <c r="I186" s="23"/>
      <c r="J186" s="25"/>
      <c r="K186" s="25"/>
      <c r="L186" s="23"/>
      <c r="M186" s="135"/>
      <c r="N186" s="135"/>
      <c r="O186" s="23"/>
      <c r="P186" s="23"/>
      <c r="Q186" s="23"/>
    </row>
    <row r="187" spans="1:17" ht="14.25" customHeight="1">
      <c r="A187" s="22"/>
      <c r="B187" s="23"/>
      <c r="C187" s="23"/>
      <c r="D187" s="24"/>
      <c r="E187" s="23"/>
      <c r="F187" s="23"/>
      <c r="G187" s="24"/>
      <c r="H187" s="23"/>
      <c r="I187" s="23"/>
      <c r="J187" s="25"/>
      <c r="K187" s="25"/>
      <c r="L187" s="23"/>
      <c r="M187" s="135"/>
      <c r="N187" s="135"/>
      <c r="O187" s="23"/>
      <c r="P187" s="23"/>
      <c r="Q187" s="23"/>
    </row>
    <row r="188" spans="1:17" ht="14.25" customHeight="1">
      <c r="A188" s="22"/>
      <c r="B188" s="23"/>
      <c r="C188" s="23"/>
      <c r="D188" s="24"/>
      <c r="E188" s="23"/>
      <c r="F188" s="23"/>
      <c r="G188" s="24"/>
      <c r="H188" s="23"/>
      <c r="I188" s="23"/>
      <c r="J188" s="25"/>
      <c r="K188" s="25"/>
      <c r="L188" s="23"/>
      <c r="M188" s="135"/>
      <c r="N188" s="135"/>
      <c r="O188" s="23"/>
      <c r="P188" s="23"/>
      <c r="Q188" s="23"/>
    </row>
    <row r="189" spans="1:17" ht="14.25" customHeight="1">
      <c r="A189" s="22"/>
      <c r="B189" s="23"/>
      <c r="C189" s="23"/>
      <c r="D189" s="24"/>
      <c r="E189" s="23"/>
      <c r="F189" s="23"/>
      <c r="G189" s="24"/>
      <c r="H189" s="23"/>
      <c r="I189" s="23"/>
      <c r="J189" s="25"/>
      <c r="K189" s="25"/>
      <c r="L189" s="23"/>
      <c r="M189" s="135"/>
      <c r="N189" s="135"/>
      <c r="O189" s="23"/>
      <c r="P189" s="23"/>
      <c r="Q189" s="23"/>
    </row>
    <row r="190" spans="1:17" ht="14.25" customHeight="1">
      <c r="A190" s="22"/>
      <c r="B190" s="23"/>
      <c r="C190" s="23"/>
      <c r="D190" s="24"/>
      <c r="E190" s="23"/>
      <c r="F190" s="23"/>
      <c r="G190" s="24"/>
      <c r="H190" s="23"/>
      <c r="I190" s="23"/>
      <c r="J190" s="25"/>
      <c r="K190" s="25"/>
      <c r="L190" s="23"/>
      <c r="M190" s="135"/>
      <c r="N190" s="135"/>
      <c r="O190" s="23"/>
      <c r="P190" s="23"/>
      <c r="Q190" s="23"/>
    </row>
    <row r="191" spans="1:17" ht="14.25" customHeight="1">
      <c r="A191" s="22"/>
      <c r="B191" s="23"/>
      <c r="C191" s="23"/>
      <c r="D191" s="24"/>
      <c r="E191" s="23"/>
      <c r="F191" s="23"/>
      <c r="G191" s="24"/>
      <c r="H191" s="23"/>
      <c r="I191" s="23"/>
      <c r="J191" s="25"/>
      <c r="K191" s="25"/>
      <c r="L191" s="23"/>
      <c r="M191" s="135"/>
      <c r="N191" s="135"/>
      <c r="O191" s="23"/>
      <c r="P191" s="23"/>
      <c r="Q191" s="23"/>
    </row>
    <row r="192" spans="1:17" ht="14.25" customHeight="1">
      <c r="A192" s="22"/>
      <c r="B192" s="23"/>
      <c r="C192" s="23"/>
      <c r="D192" s="24"/>
      <c r="E192" s="23"/>
      <c r="F192" s="23"/>
      <c r="G192" s="24"/>
      <c r="H192" s="23"/>
      <c r="I192" s="23"/>
      <c r="J192" s="25"/>
      <c r="K192" s="25"/>
      <c r="L192" s="23"/>
      <c r="M192" s="135"/>
      <c r="N192" s="135"/>
      <c r="O192" s="23"/>
      <c r="P192" s="23"/>
      <c r="Q192" s="23"/>
    </row>
    <row r="193" spans="1:17" ht="14.25" customHeight="1">
      <c r="A193" s="22"/>
      <c r="B193" s="23"/>
      <c r="C193" s="23"/>
      <c r="D193" s="24"/>
      <c r="E193" s="23"/>
      <c r="F193" s="23"/>
      <c r="G193" s="24"/>
      <c r="H193" s="23"/>
      <c r="I193" s="23"/>
      <c r="J193" s="25"/>
      <c r="K193" s="25"/>
      <c r="L193" s="23"/>
      <c r="M193" s="135"/>
      <c r="N193" s="135"/>
      <c r="O193" s="23"/>
      <c r="P193" s="23"/>
      <c r="Q193" s="23"/>
    </row>
    <row r="194" spans="1:17" ht="14.25" customHeight="1">
      <c r="A194" s="22"/>
      <c r="B194" s="23"/>
      <c r="C194" s="23"/>
      <c r="D194" s="24"/>
      <c r="E194" s="23"/>
      <c r="F194" s="23"/>
      <c r="G194" s="24"/>
      <c r="H194" s="23"/>
      <c r="I194" s="23"/>
      <c r="J194" s="25"/>
      <c r="K194" s="25"/>
      <c r="L194" s="23"/>
      <c r="M194" s="135"/>
      <c r="N194" s="135"/>
      <c r="O194" s="23"/>
      <c r="P194" s="23"/>
      <c r="Q194" s="23"/>
    </row>
    <row r="195" spans="1:17" ht="14.25" customHeight="1">
      <c r="A195" s="22"/>
      <c r="B195" s="23"/>
      <c r="C195" s="23"/>
      <c r="D195" s="24"/>
      <c r="E195" s="23"/>
      <c r="F195" s="23"/>
      <c r="G195" s="24"/>
      <c r="H195" s="23"/>
      <c r="I195" s="23"/>
      <c r="J195" s="25"/>
      <c r="K195" s="25"/>
      <c r="L195" s="23"/>
      <c r="M195" s="135"/>
      <c r="N195" s="135"/>
      <c r="O195" s="23"/>
      <c r="P195" s="23"/>
      <c r="Q195" s="23"/>
    </row>
    <row r="196" spans="1:17" ht="14.25" customHeight="1">
      <c r="A196" s="22"/>
      <c r="B196" s="23"/>
      <c r="C196" s="23"/>
      <c r="D196" s="24"/>
      <c r="E196" s="23"/>
      <c r="F196" s="23"/>
      <c r="G196" s="24"/>
      <c r="H196" s="23"/>
      <c r="I196" s="23"/>
      <c r="J196" s="25"/>
      <c r="K196" s="25"/>
      <c r="L196" s="23"/>
      <c r="M196" s="135"/>
      <c r="N196" s="135"/>
      <c r="O196" s="23"/>
      <c r="P196" s="23"/>
      <c r="Q196" s="23"/>
    </row>
    <row r="197" spans="1:17" ht="14.25" customHeight="1">
      <c r="A197" s="22"/>
      <c r="B197" s="23"/>
      <c r="C197" s="23"/>
      <c r="D197" s="24"/>
      <c r="E197" s="23"/>
      <c r="F197" s="23"/>
      <c r="G197" s="24"/>
      <c r="H197" s="23"/>
      <c r="I197" s="23"/>
      <c r="J197" s="25"/>
      <c r="K197" s="25"/>
      <c r="L197" s="23"/>
      <c r="M197" s="135"/>
      <c r="N197" s="135"/>
      <c r="O197" s="23"/>
      <c r="P197" s="23"/>
      <c r="Q197" s="23"/>
    </row>
    <row r="198" spans="1:17" ht="14.25" customHeight="1">
      <c r="A198" s="22"/>
      <c r="B198" s="23"/>
      <c r="C198" s="23"/>
      <c r="D198" s="24"/>
      <c r="E198" s="23"/>
      <c r="F198" s="23"/>
      <c r="G198" s="24"/>
      <c r="H198" s="23"/>
      <c r="I198" s="23"/>
      <c r="J198" s="25"/>
      <c r="K198" s="25"/>
      <c r="L198" s="23"/>
      <c r="M198" s="135"/>
      <c r="N198" s="135"/>
      <c r="O198" s="23"/>
      <c r="P198" s="23"/>
      <c r="Q198" s="23"/>
    </row>
    <row r="199" spans="1:17" ht="14.25" customHeight="1">
      <c r="A199" s="22"/>
      <c r="B199" s="23"/>
      <c r="C199" s="23"/>
      <c r="D199" s="24"/>
      <c r="E199" s="23"/>
      <c r="F199" s="23"/>
      <c r="G199" s="24"/>
      <c r="H199" s="23"/>
      <c r="I199" s="23"/>
      <c r="J199" s="25"/>
      <c r="K199" s="25"/>
      <c r="L199" s="23"/>
      <c r="M199" s="135"/>
      <c r="N199" s="135"/>
      <c r="O199" s="23"/>
      <c r="P199" s="23"/>
      <c r="Q199" s="23"/>
    </row>
    <row r="200" spans="1:17" ht="14.25" customHeight="1">
      <c r="A200" s="22"/>
      <c r="B200" s="23"/>
      <c r="C200" s="23"/>
      <c r="D200" s="24"/>
      <c r="E200" s="23"/>
      <c r="F200" s="23"/>
      <c r="G200" s="24"/>
      <c r="H200" s="23"/>
      <c r="I200" s="23"/>
      <c r="J200" s="25"/>
      <c r="K200" s="25"/>
      <c r="L200" s="23"/>
      <c r="M200" s="135"/>
      <c r="N200" s="135"/>
      <c r="O200" s="23"/>
      <c r="P200" s="23"/>
      <c r="Q200" s="23"/>
    </row>
    <row r="201" spans="1:17" ht="14.25" customHeight="1">
      <c r="A201" s="22"/>
      <c r="B201" s="23"/>
      <c r="C201" s="23"/>
      <c r="D201" s="24"/>
      <c r="E201" s="23"/>
      <c r="F201" s="23"/>
      <c r="G201" s="24"/>
      <c r="H201" s="23"/>
      <c r="I201" s="23"/>
      <c r="J201" s="25"/>
      <c r="K201" s="25"/>
      <c r="L201" s="23"/>
      <c r="M201" s="135"/>
      <c r="N201" s="135"/>
      <c r="O201" s="23"/>
      <c r="P201" s="23"/>
      <c r="Q201" s="23"/>
    </row>
    <row r="202" spans="1:17" ht="14.25" customHeight="1">
      <c r="A202" s="22"/>
      <c r="B202" s="23"/>
      <c r="C202" s="23"/>
      <c r="D202" s="24"/>
      <c r="E202" s="23"/>
      <c r="F202" s="23"/>
      <c r="G202" s="24"/>
      <c r="H202" s="23"/>
      <c r="I202" s="23"/>
      <c r="J202" s="25"/>
      <c r="K202" s="25"/>
      <c r="L202" s="23"/>
      <c r="M202" s="135"/>
      <c r="N202" s="135"/>
      <c r="O202" s="23"/>
      <c r="P202" s="23"/>
      <c r="Q202" s="23"/>
    </row>
    <row r="203" spans="1:17" ht="14.25" customHeight="1">
      <c r="A203" s="22"/>
      <c r="B203" s="23"/>
      <c r="C203" s="23"/>
      <c r="D203" s="24"/>
      <c r="E203" s="23"/>
      <c r="F203" s="23"/>
      <c r="G203" s="24"/>
      <c r="H203" s="23"/>
      <c r="I203" s="23"/>
      <c r="J203" s="25"/>
      <c r="K203" s="25"/>
      <c r="L203" s="23"/>
      <c r="M203" s="135"/>
      <c r="N203" s="135"/>
      <c r="O203" s="23"/>
      <c r="P203" s="23"/>
      <c r="Q203" s="23"/>
    </row>
    <row r="204" spans="1:17" ht="14.25" customHeight="1">
      <c r="A204" s="22"/>
      <c r="B204" s="23"/>
      <c r="C204" s="23"/>
      <c r="D204" s="24"/>
      <c r="E204" s="23"/>
      <c r="F204" s="23"/>
      <c r="G204" s="24"/>
      <c r="H204" s="23"/>
      <c r="I204" s="23"/>
      <c r="J204" s="25"/>
      <c r="K204" s="25"/>
      <c r="L204" s="23"/>
      <c r="M204" s="135"/>
      <c r="N204" s="135"/>
      <c r="O204" s="23"/>
      <c r="P204" s="23"/>
      <c r="Q204" s="23"/>
    </row>
    <row r="205" spans="1:17" ht="14.25" customHeight="1">
      <c r="A205" s="22"/>
      <c r="B205" s="23"/>
      <c r="C205" s="23"/>
      <c r="D205" s="24"/>
      <c r="E205" s="23"/>
      <c r="F205" s="23"/>
      <c r="G205" s="24"/>
      <c r="H205" s="23"/>
      <c r="I205" s="23"/>
      <c r="J205" s="25"/>
      <c r="K205" s="25"/>
      <c r="L205" s="23"/>
      <c r="M205" s="135"/>
      <c r="N205" s="135"/>
      <c r="O205" s="23"/>
      <c r="P205" s="23"/>
      <c r="Q205" s="23"/>
    </row>
    <row r="206" spans="1:17" ht="14.25" customHeight="1">
      <c r="A206" s="22"/>
      <c r="B206" s="23"/>
      <c r="C206" s="23"/>
      <c r="D206" s="24"/>
      <c r="E206" s="23"/>
      <c r="F206" s="23"/>
      <c r="G206" s="24"/>
      <c r="H206" s="23"/>
      <c r="I206" s="23"/>
      <c r="J206" s="25"/>
      <c r="K206" s="25"/>
      <c r="L206" s="23"/>
      <c r="M206" s="135"/>
      <c r="N206" s="135"/>
      <c r="O206" s="23"/>
      <c r="P206" s="23"/>
      <c r="Q206" s="23"/>
    </row>
    <row r="207" spans="1:17" ht="14.25" customHeight="1">
      <c r="A207" s="22"/>
      <c r="B207" s="23"/>
      <c r="C207" s="23"/>
      <c r="D207" s="24"/>
      <c r="E207" s="23"/>
      <c r="F207" s="23"/>
      <c r="G207" s="24"/>
      <c r="H207" s="23"/>
      <c r="I207" s="23"/>
      <c r="J207" s="25"/>
      <c r="K207" s="25"/>
      <c r="L207" s="23"/>
      <c r="M207" s="135"/>
      <c r="N207" s="135"/>
      <c r="O207" s="23"/>
      <c r="P207" s="23"/>
      <c r="Q207" s="23"/>
    </row>
    <row r="208" spans="1:17" ht="14.25" customHeight="1">
      <c r="A208" s="22"/>
      <c r="B208" s="23"/>
      <c r="C208" s="23"/>
      <c r="D208" s="24"/>
      <c r="E208" s="23"/>
      <c r="F208" s="23"/>
      <c r="G208" s="24"/>
      <c r="H208" s="23"/>
      <c r="I208" s="23"/>
      <c r="J208" s="25"/>
      <c r="K208" s="25"/>
      <c r="L208" s="23"/>
      <c r="M208" s="135"/>
      <c r="N208" s="135"/>
      <c r="O208" s="23"/>
      <c r="P208" s="23"/>
      <c r="Q208" s="23"/>
    </row>
    <row r="209" spans="1:17" ht="14.25" customHeight="1">
      <c r="A209" s="22"/>
      <c r="B209" s="23"/>
      <c r="C209" s="23"/>
      <c r="D209" s="24"/>
      <c r="E209" s="23"/>
      <c r="F209" s="23"/>
      <c r="G209" s="24"/>
      <c r="H209" s="23"/>
      <c r="I209" s="23"/>
      <c r="J209" s="25"/>
      <c r="K209" s="25"/>
      <c r="L209" s="23"/>
      <c r="M209" s="135"/>
      <c r="N209" s="135"/>
      <c r="O209" s="23"/>
      <c r="P209" s="23"/>
      <c r="Q209" s="23"/>
    </row>
    <row r="210" spans="1:17" ht="14.25" customHeight="1">
      <c r="A210" s="22"/>
      <c r="B210" s="23"/>
      <c r="C210" s="23"/>
      <c r="D210" s="24"/>
      <c r="E210" s="23"/>
      <c r="F210" s="23"/>
      <c r="G210" s="24"/>
      <c r="H210" s="23"/>
      <c r="I210" s="23"/>
      <c r="J210" s="25"/>
      <c r="K210" s="25"/>
      <c r="L210" s="23"/>
      <c r="M210" s="135"/>
      <c r="N210" s="135"/>
      <c r="O210" s="23"/>
      <c r="P210" s="23"/>
      <c r="Q210" s="23"/>
    </row>
    <row r="211" spans="1:17" ht="14.25" customHeight="1">
      <c r="A211" s="22"/>
      <c r="B211" s="23"/>
      <c r="C211" s="23"/>
      <c r="D211" s="24"/>
      <c r="E211" s="23"/>
      <c r="F211" s="23"/>
      <c r="G211" s="24"/>
      <c r="H211" s="23"/>
      <c r="I211" s="23"/>
      <c r="J211" s="25"/>
      <c r="K211" s="25"/>
      <c r="L211" s="23"/>
      <c r="M211" s="135"/>
      <c r="N211" s="135"/>
      <c r="O211" s="23"/>
      <c r="P211" s="23"/>
      <c r="Q211" s="23"/>
    </row>
    <row r="212" spans="1:17" ht="14.25" customHeight="1">
      <c r="A212" s="22"/>
      <c r="B212" s="23"/>
      <c r="C212" s="23"/>
      <c r="D212" s="24"/>
      <c r="E212" s="23"/>
      <c r="F212" s="23"/>
      <c r="G212" s="24"/>
      <c r="H212" s="23"/>
      <c r="I212" s="23"/>
      <c r="J212" s="25"/>
      <c r="K212" s="25"/>
      <c r="L212" s="23"/>
      <c r="M212" s="135"/>
      <c r="N212" s="135"/>
      <c r="O212" s="23"/>
      <c r="P212" s="23"/>
      <c r="Q212" s="23"/>
    </row>
    <row r="213" spans="1:17" ht="14.25" customHeight="1">
      <c r="A213" s="22"/>
      <c r="B213" s="23"/>
      <c r="C213" s="23"/>
      <c r="D213" s="24"/>
      <c r="E213" s="23"/>
      <c r="F213" s="23"/>
      <c r="G213" s="24"/>
      <c r="H213" s="23"/>
      <c r="I213" s="23"/>
      <c r="J213" s="25"/>
      <c r="K213" s="25"/>
      <c r="L213" s="23"/>
      <c r="M213" s="135"/>
      <c r="N213" s="135"/>
      <c r="O213" s="23"/>
      <c r="P213" s="23"/>
      <c r="Q213" s="23"/>
    </row>
    <row r="214" spans="1:17" ht="14.25" customHeight="1">
      <c r="A214" s="22"/>
      <c r="B214" s="23"/>
      <c r="C214" s="23"/>
      <c r="D214" s="24"/>
      <c r="E214" s="23"/>
      <c r="F214" s="23"/>
      <c r="G214" s="24"/>
      <c r="H214" s="23"/>
      <c r="I214" s="23"/>
      <c r="J214" s="25"/>
      <c r="K214" s="25"/>
      <c r="L214" s="23"/>
      <c r="M214" s="135"/>
      <c r="N214" s="135"/>
      <c r="O214" s="23"/>
      <c r="P214" s="23"/>
      <c r="Q214" s="23"/>
    </row>
    <row r="215" spans="1:17" ht="14.25" customHeight="1">
      <c r="A215" s="22"/>
      <c r="B215" s="23"/>
      <c r="C215" s="23"/>
      <c r="D215" s="24"/>
      <c r="E215" s="23"/>
      <c r="F215" s="23"/>
      <c r="G215" s="24"/>
      <c r="H215" s="23"/>
      <c r="I215" s="23"/>
      <c r="J215" s="25"/>
      <c r="K215" s="25"/>
      <c r="L215" s="23"/>
      <c r="M215" s="135"/>
      <c r="N215" s="135"/>
      <c r="O215" s="23"/>
      <c r="P215" s="23"/>
      <c r="Q215" s="23"/>
    </row>
    <row r="216" spans="1:17" ht="14.25" customHeight="1">
      <c r="A216" s="22"/>
      <c r="B216" s="23"/>
      <c r="C216" s="23"/>
      <c r="D216" s="24"/>
      <c r="E216" s="23"/>
      <c r="F216" s="23"/>
      <c r="G216" s="24"/>
      <c r="H216" s="23"/>
      <c r="I216" s="23"/>
      <c r="J216" s="25"/>
      <c r="K216" s="25"/>
      <c r="L216" s="23"/>
      <c r="M216" s="135"/>
      <c r="N216" s="135"/>
      <c r="O216" s="23"/>
      <c r="P216" s="23"/>
      <c r="Q216" s="23"/>
    </row>
    <row r="217" spans="1:17" ht="14.25" customHeight="1">
      <c r="A217" s="22"/>
      <c r="B217" s="23"/>
      <c r="C217" s="23"/>
      <c r="D217" s="24"/>
      <c r="E217" s="23"/>
      <c r="F217" s="23"/>
      <c r="G217" s="24"/>
      <c r="H217" s="23"/>
      <c r="I217" s="23"/>
      <c r="J217" s="25"/>
      <c r="K217" s="25"/>
      <c r="L217" s="23"/>
      <c r="M217" s="135"/>
      <c r="N217" s="135"/>
      <c r="O217" s="23"/>
      <c r="P217" s="23"/>
      <c r="Q217" s="23"/>
    </row>
    <row r="218" spans="1:17" ht="14.25" customHeight="1">
      <c r="A218" s="22"/>
      <c r="B218" s="23"/>
      <c r="C218" s="23"/>
      <c r="D218" s="24"/>
      <c r="E218" s="23"/>
      <c r="F218" s="23"/>
      <c r="G218" s="24"/>
      <c r="H218" s="23"/>
      <c r="I218" s="23"/>
      <c r="J218" s="25"/>
      <c r="K218" s="25"/>
      <c r="L218" s="23"/>
      <c r="M218" s="135"/>
      <c r="N218" s="135"/>
      <c r="O218" s="23"/>
      <c r="P218" s="23"/>
      <c r="Q218" s="23"/>
    </row>
    <row r="219" spans="1:17" ht="14.25" customHeight="1">
      <c r="A219" s="22"/>
      <c r="B219" s="23"/>
      <c r="C219" s="23"/>
      <c r="D219" s="24"/>
      <c r="E219" s="23"/>
      <c r="F219" s="23"/>
      <c r="G219" s="24"/>
      <c r="H219" s="23"/>
      <c r="I219" s="23"/>
      <c r="J219" s="25"/>
      <c r="K219" s="25"/>
      <c r="L219" s="23"/>
      <c r="M219" s="135"/>
      <c r="N219" s="135"/>
      <c r="O219" s="23"/>
      <c r="P219" s="23"/>
      <c r="Q219" s="23"/>
    </row>
    <row r="220" spans="1:17" ht="14.25" customHeight="1">
      <c r="A220" s="22"/>
      <c r="B220" s="23"/>
      <c r="C220" s="23"/>
      <c r="D220" s="24"/>
      <c r="E220" s="23"/>
      <c r="F220" s="23"/>
      <c r="G220" s="24"/>
      <c r="H220" s="23"/>
      <c r="I220" s="23"/>
      <c r="J220" s="25"/>
      <c r="K220" s="25"/>
      <c r="L220" s="23"/>
      <c r="M220" s="135"/>
      <c r="N220" s="135"/>
      <c r="O220" s="23"/>
      <c r="P220" s="23"/>
      <c r="Q220" s="23"/>
    </row>
    <row r="221" spans="1:17" ht="14.25" customHeight="1">
      <c r="A221" s="22"/>
      <c r="B221" s="23"/>
      <c r="C221" s="23"/>
      <c r="D221" s="24"/>
      <c r="E221" s="23"/>
      <c r="F221" s="23"/>
      <c r="G221" s="24"/>
      <c r="H221" s="23"/>
      <c r="I221" s="23"/>
      <c r="J221" s="25"/>
      <c r="K221" s="25"/>
      <c r="L221" s="23"/>
      <c r="M221" s="135"/>
      <c r="N221" s="135"/>
      <c r="O221" s="23"/>
      <c r="P221" s="23"/>
      <c r="Q221" s="23"/>
    </row>
    <row r="222" spans="1:17" ht="14.25" customHeight="1">
      <c r="A222" s="22"/>
      <c r="B222" s="23"/>
      <c r="C222" s="23"/>
      <c r="D222" s="24"/>
      <c r="E222" s="23"/>
      <c r="F222" s="23"/>
      <c r="G222" s="24"/>
      <c r="H222" s="23"/>
      <c r="I222" s="23"/>
      <c r="J222" s="25"/>
      <c r="K222" s="25"/>
      <c r="L222" s="23"/>
      <c r="M222" s="135"/>
      <c r="N222" s="135"/>
      <c r="O222" s="23"/>
      <c r="P222" s="23"/>
      <c r="Q222" s="23"/>
    </row>
    <row r="223" spans="1:17" ht="14.25" customHeight="1">
      <c r="A223" s="22"/>
      <c r="B223" s="23"/>
      <c r="C223" s="23"/>
      <c r="D223" s="24"/>
      <c r="E223" s="23"/>
      <c r="F223" s="23"/>
      <c r="G223" s="24"/>
      <c r="H223" s="23"/>
      <c r="I223" s="23"/>
      <c r="J223" s="25"/>
      <c r="K223" s="25"/>
      <c r="L223" s="23"/>
      <c r="M223" s="135"/>
      <c r="N223" s="135"/>
      <c r="O223" s="23"/>
      <c r="P223" s="23"/>
      <c r="Q223" s="23"/>
    </row>
    <row r="224" spans="1:17" ht="14.25" customHeight="1">
      <c r="A224" s="22"/>
      <c r="B224" s="23"/>
      <c r="C224" s="23"/>
      <c r="D224" s="24"/>
      <c r="E224" s="23"/>
      <c r="F224" s="23"/>
      <c r="G224" s="24"/>
      <c r="H224" s="23"/>
      <c r="I224" s="23"/>
      <c r="J224" s="25"/>
      <c r="K224" s="25"/>
      <c r="L224" s="23"/>
      <c r="M224" s="135"/>
      <c r="N224" s="135"/>
      <c r="O224" s="23"/>
      <c r="P224" s="23"/>
      <c r="Q224" s="23"/>
    </row>
    <row r="225" spans="1:17" ht="14.25" customHeight="1">
      <c r="A225" s="22"/>
      <c r="B225" s="23"/>
      <c r="C225" s="23"/>
      <c r="D225" s="24"/>
      <c r="E225" s="23"/>
      <c r="F225" s="23"/>
      <c r="G225" s="24"/>
      <c r="H225" s="23"/>
      <c r="I225" s="23"/>
      <c r="J225" s="25"/>
      <c r="K225" s="25"/>
      <c r="L225" s="23"/>
      <c r="M225" s="135"/>
      <c r="N225" s="135"/>
      <c r="O225" s="23"/>
      <c r="P225" s="23"/>
      <c r="Q225" s="23"/>
    </row>
    <row r="226" spans="1:17" ht="14.25" customHeight="1">
      <c r="A226" s="22"/>
      <c r="B226" s="23"/>
      <c r="C226" s="23"/>
      <c r="D226" s="24"/>
      <c r="E226" s="23"/>
      <c r="F226" s="23"/>
      <c r="G226" s="24"/>
      <c r="H226" s="23"/>
      <c r="I226" s="23"/>
      <c r="J226" s="25"/>
      <c r="K226" s="25"/>
      <c r="L226" s="23"/>
      <c r="M226" s="135"/>
      <c r="N226" s="135"/>
      <c r="O226" s="23"/>
      <c r="P226" s="23"/>
      <c r="Q226" s="23"/>
    </row>
    <row r="227" spans="1:17" ht="14.25" customHeight="1">
      <c r="A227" s="22"/>
      <c r="B227" s="23"/>
      <c r="C227" s="23"/>
      <c r="D227" s="24"/>
      <c r="E227" s="23"/>
      <c r="F227" s="23"/>
      <c r="G227" s="24"/>
      <c r="H227" s="23"/>
      <c r="I227" s="23"/>
      <c r="J227" s="25"/>
      <c r="K227" s="25"/>
      <c r="L227" s="23"/>
      <c r="M227" s="135"/>
      <c r="N227" s="135"/>
      <c r="O227" s="23"/>
      <c r="P227" s="23"/>
      <c r="Q227" s="23"/>
    </row>
    <row r="228" spans="1:17" ht="14.25" customHeight="1">
      <c r="A228" s="22"/>
      <c r="B228" s="23"/>
      <c r="C228" s="23"/>
      <c r="D228" s="24"/>
      <c r="E228" s="23"/>
      <c r="F228" s="23"/>
      <c r="G228" s="24"/>
      <c r="H228" s="23"/>
      <c r="I228" s="23"/>
      <c r="J228" s="25"/>
      <c r="K228" s="25"/>
      <c r="L228" s="23"/>
      <c r="M228" s="135"/>
      <c r="N228" s="135"/>
      <c r="O228" s="23"/>
      <c r="P228" s="23"/>
      <c r="Q228" s="23"/>
    </row>
    <row r="229" spans="1:17" ht="14.25" customHeight="1">
      <c r="A229" s="22"/>
      <c r="B229" s="23"/>
      <c r="C229" s="23"/>
      <c r="D229" s="24"/>
      <c r="E229" s="23"/>
      <c r="F229" s="23"/>
      <c r="G229" s="24"/>
      <c r="H229" s="23"/>
      <c r="I229" s="23"/>
      <c r="J229" s="25"/>
      <c r="K229" s="25"/>
      <c r="L229" s="23"/>
      <c r="M229" s="135"/>
      <c r="N229" s="135"/>
      <c r="O229" s="23"/>
      <c r="P229" s="23"/>
      <c r="Q229" s="23"/>
    </row>
    <row r="230" spans="1:17" ht="14.25" customHeight="1">
      <c r="A230" s="22"/>
      <c r="B230" s="23"/>
      <c r="C230" s="23"/>
      <c r="D230" s="24"/>
      <c r="E230" s="23"/>
      <c r="F230" s="23"/>
      <c r="G230" s="24"/>
      <c r="H230" s="23"/>
      <c r="I230" s="23"/>
      <c r="J230" s="25"/>
      <c r="K230" s="25"/>
      <c r="L230" s="23"/>
      <c r="M230" s="135"/>
      <c r="N230" s="135"/>
      <c r="O230" s="23"/>
      <c r="P230" s="23"/>
      <c r="Q230" s="23"/>
    </row>
    <row r="231" spans="1:17" ht="14.25" customHeight="1">
      <c r="A231" s="22"/>
      <c r="B231" s="23"/>
      <c r="C231" s="23"/>
      <c r="D231" s="24"/>
      <c r="E231" s="23"/>
      <c r="F231" s="23"/>
      <c r="G231" s="24"/>
      <c r="H231" s="23"/>
      <c r="I231" s="23"/>
      <c r="J231" s="25"/>
      <c r="K231" s="25"/>
      <c r="L231" s="23"/>
      <c r="M231" s="135"/>
      <c r="N231" s="135"/>
      <c r="O231" s="23"/>
      <c r="P231" s="23"/>
      <c r="Q231" s="23"/>
    </row>
    <row r="232" spans="1:17" ht="14.25" customHeight="1">
      <c r="A232" s="22"/>
      <c r="B232" s="23"/>
      <c r="C232" s="23"/>
      <c r="D232" s="24"/>
      <c r="E232" s="23"/>
      <c r="F232" s="23"/>
      <c r="G232" s="24"/>
      <c r="H232" s="23"/>
      <c r="I232" s="23"/>
      <c r="J232" s="25"/>
      <c r="K232" s="25"/>
      <c r="L232" s="23"/>
      <c r="M232" s="135"/>
      <c r="N232" s="135"/>
      <c r="O232" s="23"/>
      <c r="P232" s="23"/>
      <c r="Q232" s="23"/>
    </row>
    <row r="233" spans="1:17" ht="14.25" customHeight="1">
      <c r="A233" s="22"/>
      <c r="B233" s="23"/>
      <c r="C233" s="23"/>
      <c r="D233" s="24"/>
      <c r="E233" s="23"/>
      <c r="F233" s="23"/>
      <c r="G233" s="24"/>
      <c r="H233" s="23"/>
      <c r="I233" s="23"/>
      <c r="J233" s="25"/>
      <c r="K233" s="25"/>
      <c r="L233" s="23"/>
      <c r="M233" s="135"/>
      <c r="N233" s="135"/>
      <c r="O233" s="23"/>
      <c r="P233" s="23"/>
      <c r="Q233" s="23"/>
    </row>
    <row r="234" spans="1:17" ht="14.25" customHeight="1">
      <c r="A234" s="22"/>
      <c r="B234" s="23"/>
      <c r="C234" s="23"/>
      <c r="D234" s="24"/>
      <c r="E234" s="23"/>
      <c r="F234" s="23"/>
      <c r="G234" s="24"/>
      <c r="H234" s="23"/>
      <c r="I234" s="23"/>
      <c r="J234" s="25"/>
      <c r="K234" s="25"/>
      <c r="L234" s="23"/>
      <c r="M234" s="135"/>
      <c r="N234" s="135"/>
      <c r="O234" s="23"/>
      <c r="P234" s="23"/>
      <c r="Q234" s="23"/>
    </row>
    <row r="235" spans="1:17" ht="14.25" customHeight="1">
      <c r="A235" s="22"/>
      <c r="B235" s="23"/>
      <c r="C235" s="23"/>
      <c r="D235" s="24"/>
      <c r="E235" s="23"/>
      <c r="F235" s="23"/>
      <c r="G235" s="24"/>
      <c r="H235" s="23"/>
      <c r="I235" s="23"/>
      <c r="J235" s="25"/>
      <c r="K235" s="25"/>
      <c r="L235" s="23"/>
      <c r="M235" s="135"/>
      <c r="N235" s="135"/>
      <c r="O235" s="23"/>
      <c r="P235" s="23"/>
      <c r="Q235" s="23"/>
    </row>
    <row r="236" spans="1:17" ht="14.25" customHeight="1">
      <c r="A236" s="22"/>
      <c r="B236" s="23"/>
      <c r="C236" s="23"/>
      <c r="D236" s="24"/>
      <c r="E236" s="23"/>
      <c r="F236" s="23"/>
      <c r="G236" s="24"/>
      <c r="H236" s="23"/>
      <c r="I236" s="23"/>
      <c r="J236" s="25"/>
      <c r="K236" s="25"/>
      <c r="L236" s="23"/>
      <c r="M236" s="135"/>
      <c r="N236" s="135"/>
      <c r="O236" s="23"/>
      <c r="P236" s="23"/>
      <c r="Q236" s="23"/>
    </row>
    <row r="237" spans="1:17" ht="14.25" customHeight="1">
      <c r="A237" s="22"/>
      <c r="B237" s="23"/>
      <c r="C237" s="23"/>
      <c r="D237" s="24"/>
      <c r="E237" s="23"/>
      <c r="F237" s="23"/>
      <c r="G237" s="24"/>
      <c r="H237" s="23"/>
      <c r="I237" s="23"/>
      <c r="J237" s="25"/>
      <c r="K237" s="25"/>
      <c r="L237" s="23"/>
      <c r="M237" s="135"/>
      <c r="N237" s="135"/>
      <c r="O237" s="23"/>
      <c r="P237" s="23"/>
      <c r="Q237" s="23"/>
    </row>
    <row r="238" spans="1:17" ht="14.25" customHeight="1">
      <c r="A238" s="22"/>
      <c r="B238" s="23"/>
      <c r="C238" s="23"/>
      <c r="D238" s="24"/>
      <c r="E238" s="23"/>
      <c r="F238" s="23"/>
      <c r="G238" s="24"/>
      <c r="H238" s="23"/>
      <c r="I238" s="23"/>
      <c r="J238" s="25"/>
      <c r="K238" s="25"/>
      <c r="L238" s="23"/>
      <c r="M238" s="135"/>
      <c r="N238" s="135"/>
      <c r="O238" s="23"/>
      <c r="P238" s="23"/>
      <c r="Q238" s="23"/>
    </row>
    <row r="239" spans="1:17" ht="14.25" customHeight="1">
      <c r="A239" s="22"/>
      <c r="B239" s="23"/>
      <c r="C239" s="23"/>
      <c r="D239" s="24"/>
      <c r="E239" s="23"/>
      <c r="F239" s="23"/>
      <c r="G239" s="24"/>
      <c r="H239" s="23"/>
      <c r="I239" s="23"/>
      <c r="J239" s="25"/>
      <c r="K239" s="25"/>
      <c r="L239" s="23"/>
      <c r="M239" s="135"/>
      <c r="N239" s="135"/>
      <c r="O239" s="23"/>
      <c r="P239" s="23"/>
      <c r="Q239" s="23"/>
    </row>
    <row r="240" spans="1:17" ht="14.25" customHeight="1">
      <c r="A240" s="22"/>
      <c r="B240" s="23"/>
      <c r="C240" s="23"/>
      <c r="D240" s="24"/>
      <c r="E240" s="23"/>
      <c r="F240" s="23"/>
      <c r="G240" s="24"/>
      <c r="H240" s="23"/>
      <c r="I240" s="23"/>
      <c r="J240" s="25"/>
      <c r="K240" s="25"/>
      <c r="L240" s="23"/>
      <c r="M240" s="135"/>
      <c r="N240" s="135"/>
      <c r="O240" s="23"/>
      <c r="P240" s="23"/>
      <c r="Q240" s="23"/>
    </row>
    <row r="241" spans="1:17" ht="14.25" customHeight="1">
      <c r="A241" s="22"/>
      <c r="B241" s="23"/>
      <c r="C241" s="23"/>
      <c r="D241" s="24"/>
      <c r="E241" s="23"/>
      <c r="F241" s="23"/>
      <c r="G241" s="24"/>
      <c r="H241" s="23"/>
      <c r="I241" s="23"/>
      <c r="J241" s="25"/>
      <c r="K241" s="25"/>
      <c r="L241" s="23"/>
      <c r="M241" s="135"/>
      <c r="N241" s="135"/>
      <c r="O241" s="23"/>
      <c r="P241" s="23"/>
      <c r="Q241" s="23"/>
    </row>
    <row r="242" spans="1:17" ht="14.25" customHeight="1">
      <c r="A242" s="22"/>
      <c r="B242" s="23"/>
      <c r="C242" s="23"/>
      <c r="D242" s="24"/>
      <c r="E242" s="23"/>
      <c r="F242" s="23"/>
      <c r="G242" s="24"/>
      <c r="H242" s="23"/>
      <c r="I242" s="23"/>
      <c r="J242" s="25"/>
      <c r="K242" s="25"/>
      <c r="L242" s="23"/>
      <c r="M242" s="135"/>
      <c r="N242" s="135"/>
      <c r="O242" s="23"/>
      <c r="P242" s="23"/>
      <c r="Q242" s="23"/>
    </row>
    <row r="243" spans="1:17" ht="14.25" customHeight="1">
      <c r="A243" s="22"/>
      <c r="B243" s="23"/>
      <c r="C243" s="23"/>
      <c r="D243" s="24"/>
      <c r="E243" s="23"/>
      <c r="F243" s="23"/>
      <c r="G243" s="24"/>
      <c r="H243" s="23"/>
      <c r="I243" s="23"/>
      <c r="J243" s="25"/>
      <c r="K243" s="25"/>
      <c r="L243" s="23"/>
      <c r="M243" s="135"/>
      <c r="N243" s="135"/>
      <c r="O243" s="23"/>
      <c r="P243" s="23"/>
      <c r="Q243" s="23"/>
    </row>
    <row r="244" spans="1:17" ht="14.25" customHeight="1">
      <c r="A244" s="22"/>
      <c r="B244" s="23"/>
      <c r="C244" s="23"/>
      <c r="D244" s="24"/>
      <c r="E244" s="23"/>
      <c r="F244" s="23"/>
      <c r="G244" s="24"/>
      <c r="H244" s="23"/>
      <c r="I244" s="23"/>
      <c r="J244" s="25"/>
      <c r="K244" s="25"/>
      <c r="L244" s="23"/>
      <c r="M244" s="135"/>
      <c r="N244" s="135"/>
      <c r="O244" s="23"/>
      <c r="P244" s="23"/>
      <c r="Q244" s="23"/>
    </row>
    <row r="245" spans="1:17" ht="14.25" customHeight="1">
      <c r="A245" s="22"/>
      <c r="B245" s="23"/>
      <c r="C245" s="23"/>
      <c r="D245" s="24"/>
      <c r="E245" s="23"/>
      <c r="F245" s="23"/>
      <c r="G245" s="24"/>
      <c r="H245" s="23"/>
      <c r="I245" s="23"/>
      <c r="J245" s="25"/>
      <c r="K245" s="25"/>
      <c r="L245" s="23"/>
      <c r="M245" s="135"/>
      <c r="N245" s="135"/>
      <c r="O245" s="23"/>
      <c r="P245" s="23"/>
      <c r="Q245" s="23"/>
    </row>
    <row r="246" spans="1:17" ht="14.25" customHeight="1">
      <c r="A246" s="22"/>
      <c r="B246" s="23"/>
      <c r="C246" s="23"/>
      <c r="D246" s="24"/>
      <c r="E246" s="23"/>
      <c r="F246" s="23"/>
      <c r="G246" s="24"/>
      <c r="H246" s="23"/>
      <c r="I246" s="23"/>
      <c r="J246" s="25"/>
      <c r="K246" s="25"/>
      <c r="L246" s="23"/>
      <c r="M246" s="135"/>
      <c r="N246" s="135"/>
      <c r="O246" s="23"/>
      <c r="P246" s="23"/>
      <c r="Q246" s="23"/>
    </row>
    <row r="247" spans="1:17" ht="14.25" customHeight="1">
      <c r="A247" s="22"/>
      <c r="B247" s="23"/>
      <c r="C247" s="23"/>
      <c r="D247" s="24"/>
      <c r="E247" s="23"/>
      <c r="F247" s="23"/>
      <c r="G247" s="24"/>
      <c r="H247" s="23"/>
      <c r="I247" s="23"/>
      <c r="J247" s="25"/>
      <c r="K247" s="25"/>
      <c r="L247" s="23"/>
      <c r="M247" s="135"/>
      <c r="N247" s="135"/>
      <c r="O247" s="23"/>
      <c r="P247" s="23"/>
      <c r="Q247" s="23"/>
    </row>
    <row r="248" spans="1:17" ht="14.25" customHeight="1">
      <c r="A248" s="22"/>
      <c r="B248" s="23"/>
      <c r="C248" s="23"/>
      <c r="D248" s="24"/>
      <c r="E248" s="23"/>
      <c r="F248" s="23"/>
      <c r="G248" s="24"/>
      <c r="H248" s="23"/>
      <c r="I248" s="23"/>
      <c r="J248" s="25"/>
      <c r="K248" s="25"/>
      <c r="L248" s="23"/>
      <c r="M248" s="135"/>
      <c r="N248" s="135"/>
      <c r="O248" s="23"/>
      <c r="P248" s="23"/>
      <c r="Q248" s="23"/>
    </row>
    <row r="249" spans="1:17" ht="14.25" customHeight="1">
      <c r="A249" s="22"/>
      <c r="B249" s="23"/>
      <c r="C249" s="23"/>
      <c r="D249" s="24"/>
      <c r="E249" s="23"/>
      <c r="F249" s="23"/>
      <c r="G249" s="24"/>
      <c r="H249" s="23"/>
      <c r="I249" s="23"/>
      <c r="J249" s="25"/>
      <c r="K249" s="25"/>
      <c r="L249" s="23"/>
      <c r="M249" s="135"/>
      <c r="N249" s="135"/>
      <c r="O249" s="23"/>
      <c r="P249" s="23"/>
      <c r="Q249" s="23"/>
    </row>
    <row r="250" spans="1:17" ht="14.25" customHeight="1">
      <c r="A250" s="22"/>
      <c r="B250" s="23"/>
      <c r="C250" s="23"/>
      <c r="D250" s="24"/>
      <c r="E250" s="23"/>
      <c r="F250" s="23"/>
      <c r="G250" s="24"/>
      <c r="H250" s="23"/>
      <c r="I250" s="23"/>
      <c r="J250" s="25"/>
      <c r="K250" s="25"/>
      <c r="L250" s="23"/>
      <c r="M250" s="135"/>
      <c r="N250" s="135"/>
      <c r="O250" s="23"/>
      <c r="P250" s="23"/>
      <c r="Q250" s="23"/>
    </row>
    <row r="251" spans="1:17" ht="14.25" customHeight="1">
      <c r="A251" s="22"/>
      <c r="B251" s="23"/>
      <c r="C251" s="23"/>
      <c r="D251" s="24"/>
      <c r="E251" s="23"/>
      <c r="F251" s="23"/>
      <c r="G251" s="24"/>
      <c r="H251" s="23"/>
      <c r="I251" s="23"/>
      <c r="J251" s="25"/>
      <c r="K251" s="25"/>
      <c r="L251" s="23"/>
      <c r="M251" s="135"/>
      <c r="N251" s="135"/>
      <c r="O251" s="23"/>
      <c r="P251" s="23"/>
      <c r="Q251" s="23"/>
    </row>
    <row r="252" spans="1:17" ht="14.25" customHeight="1">
      <c r="A252" s="22"/>
      <c r="B252" s="23"/>
      <c r="C252" s="23"/>
      <c r="D252" s="24"/>
      <c r="E252" s="23"/>
      <c r="F252" s="23"/>
      <c r="G252" s="24"/>
      <c r="H252" s="23"/>
      <c r="I252" s="23"/>
      <c r="J252" s="25"/>
      <c r="K252" s="25"/>
      <c r="L252" s="23"/>
      <c r="M252" s="135"/>
      <c r="N252" s="135"/>
      <c r="O252" s="23"/>
      <c r="P252" s="23"/>
      <c r="Q252" s="23"/>
    </row>
    <row r="253" spans="1:17" ht="14.25" customHeight="1">
      <c r="A253" s="22"/>
      <c r="B253" s="23"/>
      <c r="C253" s="23"/>
      <c r="D253" s="24"/>
      <c r="E253" s="23"/>
      <c r="F253" s="23"/>
      <c r="G253" s="24"/>
      <c r="H253" s="23"/>
      <c r="I253" s="23"/>
      <c r="J253" s="25"/>
      <c r="K253" s="25"/>
      <c r="L253" s="23"/>
      <c r="M253" s="135"/>
      <c r="N253" s="135"/>
      <c r="O253" s="23"/>
      <c r="P253" s="23"/>
      <c r="Q253" s="23"/>
    </row>
    <row r="254" spans="1:17" ht="14.25" customHeight="1">
      <c r="A254" s="22"/>
      <c r="B254" s="23"/>
      <c r="C254" s="23"/>
      <c r="D254" s="24"/>
      <c r="E254" s="23"/>
      <c r="F254" s="23"/>
      <c r="G254" s="24"/>
      <c r="H254" s="23"/>
      <c r="I254" s="23"/>
      <c r="J254" s="25"/>
      <c r="K254" s="25"/>
      <c r="L254" s="23"/>
      <c r="M254" s="135"/>
      <c r="N254" s="135"/>
      <c r="O254" s="23"/>
      <c r="P254" s="23"/>
      <c r="Q254" s="23"/>
    </row>
    <row r="255" spans="1:17" ht="14.25" customHeight="1">
      <c r="A255" s="22"/>
      <c r="B255" s="23"/>
      <c r="C255" s="23"/>
      <c r="D255" s="24"/>
      <c r="E255" s="23"/>
      <c r="F255" s="23"/>
      <c r="G255" s="24"/>
      <c r="H255" s="23"/>
      <c r="I255" s="23"/>
      <c r="J255" s="25"/>
      <c r="K255" s="25"/>
      <c r="L255" s="23"/>
      <c r="M255" s="135"/>
      <c r="N255" s="135"/>
      <c r="O255" s="23"/>
      <c r="P255" s="23"/>
      <c r="Q255" s="23"/>
    </row>
    <row r="256" spans="1:17" ht="14.25" customHeight="1">
      <c r="A256" s="22"/>
      <c r="B256" s="23"/>
      <c r="C256" s="23"/>
      <c r="D256" s="24"/>
      <c r="E256" s="23"/>
      <c r="F256" s="23"/>
      <c r="G256" s="24"/>
      <c r="H256" s="23"/>
      <c r="I256" s="23"/>
      <c r="J256" s="25"/>
      <c r="K256" s="25"/>
      <c r="L256" s="23"/>
      <c r="M256" s="135"/>
      <c r="N256" s="135"/>
      <c r="O256" s="23"/>
      <c r="P256" s="23"/>
      <c r="Q256" s="23"/>
    </row>
    <row r="257" spans="1:17" ht="14.25" customHeight="1">
      <c r="A257" s="22"/>
      <c r="B257" s="23"/>
      <c r="C257" s="23"/>
      <c r="D257" s="24"/>
      <c r="E257" s="23"/>
      <c r="F257" s="23"/>
      <c r="G257" s="24"/>
      <c r="H257" s="23"/>
      <c r="I257" s="23"/>
      <c r="J257" s="25"/>
      <c r="K257" s="25"/>
      <c r="L257" s="23"/>
      <c r="M257" s="135"/>
      <c r="N257" s="135"/>
      <c r="O257" s="23"/>
      <c r="P257" s="23"/>
      <c r="Q257" s="23"/>
    </row>
    <row r="258" spans="1:17" ht="14.25" customHeight="1">
      <c r="A258" s="22"/>
      <c r="B258" s="23"/>
      <c r="C258" s="23"/>
      <c r="D258" s="24"/>
      <c r="E258" s="23"/>
      <c r="F258" s="23"/>
      <c r="G258" s="24"/>
      <c r="H258" s="23"/>
      <c r="I258" s="23"/>
      <c r="J258" s="25"/>
      <c r="K258" s="25"/>
      <c r="L258" s="23"/>
      <c r="M258" s="135"/>
      <c r="N258" s="135"/>
      <c r="O258" s="23"/>
      <c r="P258" s="23"/>
      <c r="Q258" s="23"/>
    </row>
    <row r="259" spans="1:17" ht="14.25" customHeight="1">
      <c r="A259" s="22"/>
      <c r="B259" s="23"/>
      <c r="C259" s="23"/>
      <c r="D259" s="24"/>
      <c r="E259" s="23"/>
      <c r="F259" s="23"/>
      <c r="G259" s="24"/>
      <c r="H259" s="23"/>
      <c r="I259" s="23"/>
      <c r="J259" s="25"/>
      <c r="K259" s="25"/>
      <c r="L259" s="23"/>
      <c r="M259" s="135"/>
      <c r="N259" s="135"/>
      <c r="O259" s="23"/>
      <c r="P259" s="23"/>
      <c r="Q259" s="23"/>
    </row>
    <row r="260" spans="1:17" ht="14.25" customHeight="1">
      <c r="A260" s="22"/>
      <c r="B260" s="23"/>
      <c r="C260" s="23"/>
      <c r="D260" s="24"/>
      <c r="E260" s="23"/>
      <c r="F260" s="23"/>
      <c r="G260" s="24"/>
      <c r="H260" s="23"/>
      <c r="I260" s="23"/>
      <c r="J260" s="25"/>
      <c r="K260" s="25"/>
      <c r="L260" s="23"/>
      <c r="M260" s="135"/>
      <c r="N260" s="135"/>
      <c r="O260" s="23"/>
      <c r="P260" s="23"/>
      <c r="Q260" s="23"/>
    </row>
    <row r="261" spans="1:17" ht="14.25" customHeight="1">
      <c r="A261" s="22"/>
      <c r="B261" s="23"/>
      <c r="C261" s="23"/>
      <c r="D261" s="24"/>
      <c r="E261" s="23"/>
      <c r="F261" s="23"/>
      <c r="G261" s="24"/>
      <c r="H261" s="23"/>
      <c r="I261" s="23"/>
      <c r="J261" s="25"/>
      <c r="K261" s="25"/>
      <c r="L261" s="23"/>
      <c r="M261" s="135"/>
      <c r="N261" s="135"/>
      <c r="O261" s="23"/>
      <c r="P261" s="23"/>
      <c r="Q261" s="23"/>
    </row>
    <row r="262" spans="1:17" ht="14.25" customHeight="1">
      <c r="A262" s="22"/>
      <c r="B262" s="23"/>
      <c r="C262" s="23"/>
      <c r="D262" s="24"/>
      <c r="E262" s="23"/>
      <c r="F262" s="23"/>
      <c r="G262" s="24"/>
      <c r="H262" s="23"/>
      <c r="I262" s="23"/>
      <c r="J262" s="25"/>
      <c r="K262" s="25"/>
      <c r="L262" s="23"/>
      <c r="M262" s="135"/>
      <c r="N262" s="135"/>
      <c r="O262" s="23"/>
      <c r="P262" s="23"/>
      <c r="Q262" s="23"/>
    </row>
    <row r="263" spans="1:17" ht="14.25" customHeight="1">
      <c r="A263" s="22"/>
      <c r="B263" s="23"/>
      <c r="C263" s="23"/>
      <c r="D263" s="24"/>
      <c r="E263" s="23"/>
      <c r="F263" s="23"/>
      <c r="G263" s="24"/>
      <c r="H263" s="23"/>
      <c r="I263" s="23"/>
      <c r="J263" s="25"/>
      <c r="K263" s="25"/>
      <c r="L263" s="23"/>
      <c r="M263" s="135"/>
      <c r="N263" s="135"/>
      <c r="O263" s="23"/>
      <c r="P263" s="23"/>
      <c r="Q263" s="23"/>
    </row>
    <row r="264" spans="1:17" ht="14.25" customHeight="1">
      <c r="A264" s="22"/>
      <c r="B264" s="23"/>
      <c r="C264" s="23"/>
      <c r="D264" s="24"/>
      <c r="E264" s="23"/>
      <c r="F264" s="23"/>
      <c r="G264" s="24"/>
      <c r="H264" s="23"/>
      <c r="I264" s="23"/>
      <c r="J264" s="25"/>
      <c r="K264" s="25"/>
      <c r="L264" s="23"/>
      <c r="M264" s="135"/>
      <c r="N264" s="135"/>
      <c r="O264" s="23"/>
      <c r="P264" s="23"/>
      <c r="Q264" s="23"/>
    </row>
    <row r="265" spans="1:17" ht="14.25" customHeight="1">
      <c r="A265" s="22"/>
      <c r="B265" s="23"/>
      <c r="C265" s="23"/>
      <c r="D265" s="24"/>
      <c r="E265" s="23"/>
      <c r="F265" s="23"/>
      <c r="G265" s="24"/>
      <c r="H265" s="23"/>
      <c r="I265" s="23"/>
      <c r="J265" s="25"/>
      <c r="K265" s="25"/>
      <c r="L265" s="23"/>
      <c r="M265" s="135"/>
      <c r="N265" s="135"/>
      <c r="O265" s="23"/>
      <c r="P265" s="23"/>
      <c r="Q265" s="23"/>
    </row>
    <row r="266" spans="1:17" ht="14.25" customHeight="1">
      <c r="A266" s="22"/>
      <c r="B266" s="23"/>
      <c r="C266" s="23"/>
      <c r="D266" s="24"/>
      <c r="E266" s="23"/>
      <c r="F266" s="23"/>
      <c r="G266" s="24"/>
      <c r="H266" s="23"/>
      <c r="I266" s="23"/>
      <c r="J266" s="25"/>
      <c r="K266" s="25"/>
      <c r="L266" s="23"/>
      <c r="M266" s="135"/>
      <c r="N266" s="135"/>
      <c r="O266" s="23"/>
      <c r="P266" s="23"/>
      <c r="Q266" s="23"/>
    </row>
    <row r="267" spans="1:17" ht="14.25" customHeight="1">
      <c r="A267" s="22"/>
      <c r="B267" s="23"/>
      <c r="C267" s="23"/>
      <c r="D267" s="24"/>
      <c r="E267" s="23"/>
      <c r="F267" s="23"/>
      <c r="G267" s="24"/>
      <c r="H267" s="23"/>
      <c r="I267" s="23"/>
      <c r="J267" s="25"/>
      <c r="K267" s="25"/>
      <c r="L267" s="23"/>
      <c r="M267" s="135"/>
      <c r="N267" s="135"/>
      <c r="O267" s="23"/>
      <c r="P267" s="23"/>
      <c r="Q267" s="23"/>
    </row>
  </sheetData>
  <mergeCells count="182">
    <mergeCell ref="L81:N81"/>
    <mergeCell ref="G14:H14"/>
    <mergeCell ref="G15:H15"/>
    <mergeCell ref="G16:H16"/>
    <mergeCell ref="G51:H51"/>
    <mergeCell ref="G50:H50"/>
    <mergeCell ref="G37:H37"/>
    <mergeCell ref="G43:H43"/>
    <mergeCell ref="G44:H44"/>
    <mergeCell ref="G36:H36"/>
    <mergeCell ref="G30:H30"/>
    <mergeCell ref="G29:H29"/>
    <mergeCell ref="G58:H58"/>
    <mergeCell ref="G57:H57"/>
    <mergeCell ref="L14:N14"/>
    <mergeCell ref="L15:N15"/>
    <mergeCell ref="L16:N16"/>
    <mergeCell ref="L51:N51"/>
    <mergeCell ref="L57:N57"/>
    <mergeCell ref="L37:N37"/>
    <mergeCell ref="L43:N43"/>
    <mergeCell ref="L44:N44"/>
    <mergeCell ref="L36:N36"/>
    <mergeCell ref="L30:N30"/>
    <mergeCell ref="A36:A42"/>
    <mergeCell ref="A22:A28"/>
    <mergeCell ref="A29:A35"/>
    <mergeCell ref="A15:A21"/>
    <mergeCell ref="A92:A98"/>
    <mergeCell ref="A85:A91"/>
    <mergeCell ref="A71:A77"/>
    <mergeCell ref="A64:A70"/>
    <mergeCell ref="A43:A49"/>
    <mergeCell ref="A50:A56"/>
    <mergeCell ref="A57:A63"/>
    <mergeCell ref="A78:A84"/>
    <mergeCell ref="G65:H65"/>
    <mergeCell ref="G79:H79"/>
    <mergeCell ref="D78:E78"/>
    <mergeCell ref="G78:H78"/>
    <mergeCell ref="D36:E36"/>
    <mergeCell ref="D22:E22"/>
    <mergeCell ref="D23:E23"/>
    <mergeCell ref="D30:E30"/>
    <mergeCell ref="D29:E29"/>
    <mergeCell ref="G22:H22"/>
    <mergeCell ref="G23:H23"/>
    <mergeCell ref="D38:E38"/>
    <mergeCell ref="D71:E71"/>
    <mergeCell ref="D52:E52"/>
    <mergeCell ref="D53:E53"/>
    <mergeCell ref="G92:H92"/>
    <mergeCell ref="D79:E79"/>
    <mergeCell ref="D92:E92"/>
    <mergeCell ref="D85:E85"/>
    <mergeCell ref="D86:E86"/>
    <mergeCell ref="D44:E44"/>
    <mergeCell ref="D14:E14"/>
    <mergeCell ref="D15:E15"/>
    <mergeCell ref="D16:E16"/>
    <mergeCell ref="D64:E64"/>
    <mergeCell ref="D58:E58"/>
    <mergeCell ref="D51:E51"/>
    <mergeCell ref="D50:E50"/>
    <mergeCell ref="D57:E57"/>
    <mergeCell ref="D37:E37"/>
    <mergeCell ref="D43:E43"/>
    <mergeCell ref="D82:E83"/>
    <mergeCell ref="D72:E72"/>
    <mergeCell ref="D65:E65"/>
    <mergeCell ref="G85:H85"/>
    <mergeCell ref="G86:H86"/>
    <mergeCell ref="G71:H71"/>
    <mergeCell ref="G64:H64"/>
    <mergeCell ref="G72:H72"/>
    <mergeCell ref="D128:E128"/>
    <mergeCell ref="G128:H128"/>
    <mergeCell ref="L128:N128"/>
    <mergeCell ref="L131:N131"/>
    <mergeCell ref="P127:P133"/>
    <mergeCell ref="P113:P119"/>
    <mergeCell ref="Q127:Q133"/>
    <mergeCell ref="Q120:Q126"/>
    <mergeCell ref="P120:P126"/>
    <mergeCell ref="Q113:Q119"/>
    <mergeCell ref="L121:N121"/>
    <mergeCell ref="L120:N120"/>
    <mergeCell ref="G120:H120"/>
    <mergeCell ref="G121:H121"/>
    <mergeCell ref="L29:N29"/>
    <mergeCell ref="L31:N31"/>
    <mergeCell ref="Q57:Q63"/>
    <mergeCell ref="Q50:Q56"/>
    <mergeCell ref="Q36:Q42"/>
    <mergeCell ref="Q43:Q49"/>
    <mergeCell ref="Q22:Q28"/>
    <mergeCell ref="Q29:Q35"/>
    <mergeCell ref="Q15:Q21"/>
    <mergeCell ref="L58:N58"/>
    <mergeCell ref="L61:N61"/>
    <mergeCell ref="O50:O56"/>
    <mergeCell ref="O57:O63"/>
    <mergeCell ref="O43:O49"/>
    <mergeCell ref="O36:O42"/>
    <mergeCell ref="O29:O35"/>
    <mergeCell ref="P50:P56"/>
    <mergeCell ref="P43:P49"/>
    <mergeCell ref="P36:P42"/>
    <mergeCell ref="P29:P35"/>
    <mergeCell ref="L50:N50"/>
    <mergeCell ref="P57:P63"/>
    <mergeCell ref="L22:N22"/>
    <mergeCell ref="L23:N23"/>
    <mergeCell ref="Q106:Q112"/>
    <mergeCell ref="Q92:Q98"/>
    <mergeCell ref="O99:O105"/>
    <mergeCell ref="P99:P105"/>
    <mergeCell ref="Q85:Q91"/>
    <mergeCell ref="Q99:Q105"/>
    <mergeCell ref="O78:O84"/>
    <mergeCell ref="P78:P84"/>
    <mergeCell ref="Q78:Q84"/>
    <mergeCell ref="P106:P112"/>
    <mergeCell ref="O92:O98"/>
    <mergeCell ref="P92:P98"/>
    <mergeCell ref="D93:E93"/>
    <mergeCell ref="G93:H93"/>
    <mergeCell ref="L93:N93"/>
    <mergeCell ref="D99:E99"/>
    <mergeCell ref="O85:O91"/>
    <mergeCell ref="P85:P91"/>
    <mergeCell ref="Q64:Q70"/>
    <mergeCell ref="O64:O70"/>
    <mergeCell ref="P64:P70"/>
    <mergeCell ref="Q71:Q77"/>
    <mergeCell ref="O71:O77"/>
    <mergeCell ref="L78:N78"/>
    <mergeCell ref="L71:N71"/>
    <mergeCell ref="P71:P77"/>
    <mergeCell ref="L72:N72"/>
    <mergeCell ref="L75:N75"/>
    <mergeCell ref="L79:N79"/>
    <mergeCell ref="L92:N92"/>
    <mergeCell ref="L85:N85"/>
    <mergeCell ref="L86:N86"/>
    <mergeCell ref="L89:N89"/>
    <mergeCell ref="L88:N88"/>
    <mergeCell ref="L65:N65"/>
    <mergeCell ref="L64:N64"/>
    <mergeCell ref="G99:H99"/>
    <mergeCell ref="L99:N99"/>
    <mergeCell ref="D100:E100"/>
    <mergeCell ref="G100:H100"/>
    <mergeCell ref="L100:N100"/>
    <mergeCell ref="L103:N103"/>
    <mergeCell ref="G106:H106"/>
    <mergeCell ref="L106:N106"/>
    <mergeCell ref="A99:A105"/>
    <mergeCell ref="A120:A126"/>
    <mergeCell ref="A127:A133"/>
    <mergeCell ref="D127:E127"/>
    <mergeCell ref="G127:H127"/>
    <mergeCell ref="A106:A112"/>
    <mergeCell ref="A113:A119"/>
    <mergeCell ref="D113:E113"/>
    <mergeCell ref="G113:H113"/>
    <mergeCell ref="O120:O126"/>
    <mergeCell ref="O113:O119"/>
    <mergeCell ref="D114:E114"/>
    <mergeCell ref="G114:H114"/>
    <mergeCell ref="L114:N114"/>
    <mergeCell ref="L117:N117"/>
    <mergeCell ref="O127:O133"/>
    <mergeCell ref="D120:E120"/>
    <mergeCell ref="D106:E106"/>
    <mergeCell ref="O106:O112"/>
    <mergeCell ref="D121:E121"/>
    <mergeCell ref="L127:N127"/>
    <mergeCell ref="L113:N113"/>
    <mergeCell ref="D107:E107"/>
    <mergeCell ref="G107:H107"/>
    <mergeCell ref="L107:N107"/>
  </mergeCells>
  <printOptions horizontalCentered="1"/>
  <pageMargins left="0.2" right="0.2" top="0.5" bottom="0.5" header="0" footer="0"/>
  <pageSetup paperSize="3"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
  <sheetViews>
    <sheetView topLeftCell="A5" workbookViewId="0">
      <selection activeCell="H10" sqref="H10"/>
    </sheetView>
  </sheetViews>
  <sheetFormatPr defaultColWidth="14.44140625" defaultRowHeight="15" customHeight="1"/>
  <cols>
    <col min="1" max="1" width="16.88671875" customWidth="1"/>
    <col min="2" max="2" width="8.5546875" customWidth="1"/>
    <col min="3" max="3" width="11.6640625" customWidth="1"/>
    <col min="4" max="5" width="12.6640625" customWidth="1"/>
    <col min="6" max="10" width="11.6640625" customWidth="1"/>
    <col min="11" max="11" width="8.6640625" customWidth="1"/>
  </cols>
  <sheetData>
    <row r="1" spans="1:10" ht="14.25" hidden="1" customHeight="1">
      <c r="A1" t="s">
        <v>88</v>
      </c>
      <c r="B1" s="148">
        <v>0.9</v>
      </c>
      <c r="C1" t="s">
        <v>89</v>
      </c>
    </row>
    <row r="2" spans="1:10" ht="14.25" hidden="1" customHeight="1">
      <c r="A2" t="s">
        <v>90</v>
      </c>
      <c r="B2" s="148">
        <v>0.9</v>
      </c>
      <c r="C2" t="s">
        <v>91</v>
      </c>
    </row>
    <row r="3" spans="1:10" ht="14.25" hidden="1" customHeight="1">
      <c r="A3" t="s">
        <v>92</v>
      </c>
      <c r="B3" s="148">
        <v>1.05</v>
      </c>
      <c r="C3" t="s">
        <v>93</v>
      </c>
    </row>
    <row r="4" spans="1:10" ht="14.25" hidden="1" customHeight="1">
      <c r="A4" t="s">
        <v>94</v>
      </c>
      <c r="B4" s="148">
        <v>0.82</v>
      </c>
      <c r="C4" t="s">
        <v>95</v>
      </c>
    </row>
    <row r="5" spans="1:10" ht="14.25" customHeight="1"/>
    <row r="6" spans="1:10" ht="14.25" customHeight="1">
      <c r="A6" s="149" t="s">
        <v>96</v>
      </c>
      <c r="B6" s="150" t="s">
        <v>97</v>
      </c>
      <c r="C6" s="150" t="s">
        <v>98</v>
      </c>
      <c r="D6" s="150" t="s">
        <v>99</v>
      </c>
      <c r="E6" s="151" t="s">
        <v>100</v>
      </c>
      <c r="F6" s="150" t="s">
        <v>101</v>
      </c>
      <c r="G6" s="150" t="s">
        <v>102</v>
      </c>
      <c r="H6" s="150" t="s">
        <v>103</v>
      </c>
      <c r="I6" s="150" t="s">
        <v>104</v>
      </c>
      <c r="J6" s="152" t="s">
        <v>105</v>
      </c>
    </row>
    <row r="7" spans="1:10" ht="14.25" hidden="1" customHeight="1">
      <c r="A7" s="153" t="s">
        <v>106</v>
      </c>
      <c r="B7" s="154">
        <v>0.5</v>
      </c>
      <c r="C7" s="155">
        <f t="shared" ref="C7:C13" si="0">IF(D7&lt;60,TIME(0,ROUNDDOWN(D7,0),((D7)-ROUNDDOWN(D7,0))*60),TIME(1,ROUNDDOWN(D7,0)-60,((D7)-ROUNDDOWN(D7,0))*60))</f>
        <v>2.1527777777777778E-3</v>
      </c>
      <c r="D7" s="156">
        <f t="shared" ref="D7:D13" si="1">(0.0312*$D$14-0.0317)*B7^(-0.0000175*($D$14)+1.07)</f>
        <v>3.1136641620864625</v>
      </c>
      <c r="E7" s="157" t="s">
        <v>107</v>
      </c>
      <c r="F7" s="158">
        <f t="shared" ref="F7:F14" si="2">IF((D7/B7)&lt;60,TIME(0,ROUNDDOWN((D7/B7),0),(((D7/B7))-ROUNDDOWN((D7/B7),0))*60),TIME(1,ROUNDDOWN((D7/B7),0)-60,(((D7/B7))-ROUNDDOWN((D7/B7),0))*60))</f>
        <v>4.31712962962963E-3</v>
      </c>
      <c r="G7" s="159"/>
      <c r="H7" s="159"/>
      <c r="I7" s="159"/>
      <c r="J7" s="159"/>
    </row>
    <row r="8" spans="1:10" ht="14.25" customHeight="1">
      <c r="A8" s="160" t="s">
        <v>108</v>
      </c>
      <c r="B8" s="161">
        <v>1</v>
      </c>
      <c r="C8" s="162">
        <f t="shared" si="0"/>
        <v>4.5254629629629629E-3</v>
      </c>
      <c r="D8" s="163">
        <f t="shared" si="1"/>
        <v>6.5202999999999998</v>
      </c>
      <c r="E8" s="164" t="s">
        <v>109</v>
      </c>
      <c r="F8" s="165">
        <f t="shared" si="2"/>
        <v>4.5254629629629629E-3</v>
      </c>
      <c r="G8" s="165">
        <f t="shared" ref="G8:G21" si="3">F8/8</f>
        <v>5.6568287037037036E-4</v>
      </c>
      <c r="H8" s="165">
        <f t="shared" ref="H8:H21" si="4">F8/4</f>
        <v>1.1313657407407407E-3</v>
      </c>
      <c r="I8" s="165">
        <f t="shared" ref="I8:I21" si="5">F8/2</f>
        <v>2.2627314814814815E-3</v>
      </c>
      <c r="J8" s="166">
        <f t="shared" ref="J8:J21" si="6">F8*3/4</f>
        <v>3.394097222222222E-3</v>
      </c>
    </row>
    <row r="9" spans="1:10" ht="14.25" customHeight="1">
      <c r="A9" s="167" t="s">
        <v>110</v>
      </c>
      <c r="B9" s="168">
        <v>3.1</v>
      </c>
      <c r="C9" s="169">
        <f t="shared" si="0"/>
        <v>1.5127314814814816E-2</v>
      </c>
      <c r="D9" s="170">
        <f t="shared" si="1"/>
        <v>21.788073734296272</v>
      </c>
      <c r="E9" s="171" t="s">
        <v>111</v>
      </c>
      <c r="F9" s="172">
        <f t="shared" si="2"/>
        <v>4.8726851851851856E-3</v>
      </c>
      <c r="G9" s="172">
        <f t="shared" si="3"/>
        <v>6.090856481481482E-4</v>
      </c>
      <c r="H9" s="172">
        <f t="shared" si="4"/>
        <v>1.2181712962962964E-3</v>
      </c>
      <c r="I9" s="172">
        <f t="shared" si="5"/>
        <v>2.4363425925925928E-3</v>
      </c>
      <c r="J9" s="173">
        <f t="shared" si="6"/>
        <v>3.6545138888888894E-3</v>
      </c>
    </row>
    <row r="10" spans="1:10" ht="14.25" customHeight="1">
      <c r="A10" s="167" t="s">
        <v>112</v>
      </c>
      <c r="B10" s="168">
        <v>4</v>
      </c>
      <c r="C10" s="169">
        <f t="shared" si="0"/>
        <v>1.9849537037037037E-2</v>
      </c>
      <c r="D10" s="170">
        <f t="shared" si="1"/>
        <v>28.592965378116482</v>
      </c>
      <c r="E10" s="171" t="s">
        <v>113</v>
      </c>
      <c r="F10" s="172">
        <f t="shared" si="2"/>
        <v>4.9537037037037041E-3</v>
      </c>
      <c r="G10" s="172">
        <f t="shared" si="3"/>
        <v>6.1921296296296301E-4</v>
      </c>
      <c r="H10" s="172">
        <f t="shared" si="4"/>
        <v>1.238425925925926E-3</v>
      </c>
      <c r="I10" s="172">
        <f t="shared" si="5"/>
        <v>2.476851851851852E-3</v>
      </c>
      <c r="J10" s="173">
        <f t="shared" si="6"/>
        <v>3.7152777777777783E-3</v>
      </c>
    </row>
    <row r="11" spans="1:10" ht="14.25" customHeight="1">
      <c r="A11" s="167" t="s">
        <v>114</v>
      </c>
      <c r="B11" s="168">
        <v>5</v>
      </c>
      <c r="C11" s="169">
        <f t="shared" si="0"/>
        <v>2.5185185185185185E-2</v>
      </c>
      <c r="D11" s="170">
        <f t="shared" si="1"/>
        <v>36.274110198077516</v>
      </c>
      <c r="E11" s="171" t="s">
        <v>115</v>
      </c>
      <c r="F11" s="172">
        <f t="shared" si="2"/>
        <v>5.0347222222222225E-3</v>
      </c>
      <c r="G11" s="172">
        <f t="shared" si="3"/>
        <v>6.2934027777777782E-4</v>
      </c>
      <c r="H11" s="172">
        <f t="shared" si="4"/>
        <v>1.2586805555555556E-3</v>
      </c>
      <c r="I11" s="172">
        <f t="shared" si="5"/>
        <v>2.5173611111111113E-3</v>
      </c>
      <c r="J11" s="173">
        <f t="shared" si="6"/>
        <v>3.7760416666666671E-3</v>
      </c>
    </row>
    <row r="12" spans="1:10" ht="14.25" customHeight="1">
      <c r="A12" s="167" t="s">
        <v>116</v>
      </c>
      <c r="B12" s="168">
        <v>6.2</v>
      </c>
      <c r="C12" s="169">
        <f t="shared" si="0"/>
        <v>3.1678240740740743E-2</v>
      </c>
      <c r="D12" s="170">
        <f t="shared" si="1"/>
        <v>45.626236412900276</v>
      </c>
      <c r="E12" s="171" t="s">
        <v>117</v>
      </c>
      <c r="F12" s="172">
        <f t="shared" si="2"/>
        <v>5.1041666666666666E-3</v>
      </c>
      <c r="G12" s="172">
        <f t="shared" si="3"/>
        <v>6.3802083333333332E-4</v>
      </c>
      <c r="H12" s="172">
        <f t="shared" si="4"/>
        <v>1.2760416666666666E-3</v>
      </c>
      <c r="I12" s="172">
        <f t="shared" si="5"/>
        <v>2.5520833333333333E-3</v>
      </c>
      <c r="J12" s="173">
        <f t="shared" si="6"/>
        <v>3.8281249999999999E-3</v>
      </c>
    </row>
    <row r="13" spans="1:10" ht="14.25" customHeight="1">
      <c r="A13" s="167" t="s">
        <v>118</v>
      </c>
      <c r="B13" s="168">
        <v>13.1</v>
      </c>
      <c r="C13" s="169">
        <f t="shared" si="0"/>
        <v>7.0347222222222214E-2</v>
      </c>
      <c r="D13" s="170">
        <f t="shared" si="1"/>
        <v>101.30756863577588</v>
      </c>
      <c r="E13" s="171" t="s">
        <v>119</v>
      </c>
      <c r="F13" s="172">
        <f t="shared" si="2"/>
        <v>5.37037037037037E-3</v>
      </c>
      <c r="G13" s="172">
        <f t="shared" si="3"/>
        <v>6.7129629629629625E-4</v>
      </c>
      <c r="H13" s="172">
        <f t="shared" si="4"/>
        <v>1.3425925925925925E-3</v>
      </c>
      <c r="I13" s="172">
        <f t="shared" si="5"/>
        <v>2.685185185185185E-3</v>
      </c>
      <c r="J13" s="173">
        <f t="shared" si="6"/>
        <v>4.0277777777777777E-3</v>
      </c>
    </row>
    <row r="14" spans="1:10" ht="14.25" customHeight="1">
      <c r="A14" s="174" t="s">
        <v>120</v>
      </c>
      <c r="B14" s="175">
        <v>26.2</v>
      </c>
      <c r="C14" s="176">
        <f>'NYC Marathon'!B9</f>
        <v>0.14583333333333334</v>
      </c>
      <c r="D14" s="177">
        <f>HOUR(C14)*60+MINUTE(C14)+SECOND(C14)/60</f>
        <v>210</v>
      </c>
      <c r="E14" s="178" t="s">
        <v>121</v>
      </c>
      <c r="F14" s="179">
        <f t="shared" si="2"/>
        <v>5.5555555555555558E-3</v>
      </c>
      <c r="G14" s="179">
        <f t="shared" si="3"/>
        <v>6.9444444444444447E-4</v>
      </c>
      <c r="H14" s="179">
        <f t="shared" si="4"/>
        <v>1.3888888888888889E-3</v>
      </c>
      <c r="I14" s="179">
        <f t="shared" si="5"/>
        <v>2.7777777777777779E-3</v>
      </c>
      <c r="J14" s="180">
        <f t="shared" si="6"/>
        <v>4.1666666666666666E-3</v>
      </c>
    </row>
    <row r="15" spans="1:10" ht="14.25" hidden="1" customHeight="1">
      <c r="A15" s="181"/>
      <c r="B15" s="181"/>
      <c r="C15" s="182">
        <f t="shared" ref="C15:C18" si="7">IF(D15&lt;60,TIME(0,ROUNDDOWN(D15,0),((D15)-ROUNDDOWN(D15,0))*60),TIME(1,ROUNDDOWN(D15,0)-60,((D15)-ROUNDDOWN(D15,0))*60))</f>
        <v>2.3958333333333336E-3</v>
      </c>
      <c r="D15" s="183">
        <f>D7/B1</f>
        <v>3.459626846762736</v>
      </c>
      <c r="E15" s="184" t="s">
        <v>122</v>
      </c>
      <c r="F15" s="185">
        <f t="shared" ref="F15:F17" si="8">IF((D15/B7)&lt;60,TIME(0,ROUNDDOWN((D15/B7),0),(((D15/B7))-ROUNDDOWN((D15/B7),0))*60),TIME(1,ROUNDDOWN((D15/B7),0)-60,(((D15/B7))-ROUNDDOWN((D15/B7),0))*60))</f>
        <v>4.8032407407407407E-3</v>
      </c>
      <c r="G15" s="185">
        <f t="shared" si="3"/>
        <v>6.0040509259259259E-4</v>
      </c>
      <c r="H15" s="185">
        <f t="shared" si="4"/>
        <v>1.2008101851851852E-3</v>
      </c>
      <c r="I15" s="185">
        <f t="shared" si="5"/>
        <v>2.4016203703703704E-3</v>
      </c>
      <c r="J15" s="185">
        <f t="shared" si="6"/>
        <v>3.6024305555555558E-3</v>
      </c>
    </row>
    <row r="16" spans="1:10" ht="14.25" hidden="1" customHeight="1">
      <c r="A16" s="186"/>
      <c r="B16" s="186"/>
      <c r="C16" s="169">
        <f t="shared" si="7"/>
        <v>5.0231481481481481E-3</v>
      </c>
      <c r="D16" s="170">
        <f t="shared" ref="D16:D17" si="9">D8/B1</f>
        <v>7.2447777777777773</v>
      </c>
      <c r="E16" s="171" t="s">
        <v>123</v>
      </c>
      <c r="F16" s="172">
        <f t="shared" si="8"/>
        <v>5.0231481481481481E-3</v>
      </c>
      <c r="G16" s="172">
        <f t="shared" si="3"/>
        <v>6.2789351851851851E-4</v>
      </c>
      <c r="H16" s="172">
        <f t="shared" si="4"/>
        <v>1.255787037037037E-3</v>
      </c>
      <c r="I16" s="172">
        <f t="shared" si="5"/>
        <v>2.5115740740740741E-3</v>
      </c>
      <c r="J16" s="172">
        <f t="shared" si="6"/>
        <v>3.7673611111111111E-3</v>
      </c>
    </row>
    <row r="17" spans="1:10" ht="14.25" hidden="1" customHeight="1">
      <c r="A17" s="186"/>
      <c r="B17" s="186"/>
      <c r="C17" s="169">
        <f t="shared" si="7"/>
        <v>1.6805555555555556E-2</v>
      </c>
      <c r="D17" s="170">
        <f t="shared" si="9"/>
        <v>24.208970815884747</v>
      </c>
      <c r="E17" s="171" t="s">
        <v>124</v>
      </c>
      <c r="F17" s="172">
        <f t="shared" si="8"/>
        <v>5.4166666666666669E-3</v>
      </c>
      <c r="G17" s="172">
        <f t="shared" si="3"/>
        <v>6.7708333333333336E-4</v>
      </c>
      <c r="H17" s="172">
        <f t="shared" si="4"/>
        <v>1.3541666666666667E-3</v>
      </c>
      <c r="I17" s="172">
        <f t="shared" si="5"/>
        <v>2.7083333333333334E-3</v>
      </c>
      <c r="J17" s="172">
        <f t="shared" si="6"/>
        <v>4.0625000000000001E-3</v>
      </c>
    </row>
    <row r="18" spans="1:10" ht="14.25" hidden="1" customHeight="1">
      <c r="A18" s="187"/>
      <c r="B18" s="187"/>
      <c r="C18" s="188">
        <f t="shared" si="7"/>
        <v>3.5196759259259254E-2</v>
      </c>
      <c r="D18" s="189">
        <f>D12/B2</f>
        <v>50.695818236555859</v>
      </c>
      <c r="E18" s="190" t="s">
        <v>125</v>
      </c>
      <c r="F18" s="191">
        <f t="shared" ref="F18:F20" si="10">IF((D18/B12)&lt;60,TIME(0,ROUNDDOWN((D18/B12),0),(((D18/B12))-ROUNDDOWN((D18/B12),0))*60),TIME(1,ROUNDDOWN((D18/B12),0)-60,(((D18/B12))-ROUNDDOWN((D18/B12),0))*60))</f>
        <v>5.6712962962962958E-3</v>
      </c>
      <c r="G18" s="191">
        <f t="shared" si="3"/>
        <v>7.0891203703703698E-4</v>
      </c>
      <c r="H18" s="191">
        <f t="shared" si="4"/>
        <v>1.417824074074074E-3</v>
      </c>
      <c r="I18" s="191">
        <f t="shared" si="5"/>
        <v>2.8356481481481479E-3</v>
      </c>
      <c r="J18" s="191">
        <f t="shared" si="6"/>
        <v>4.2534722222222219E-3</v>
      </c>
    </row>
    <row r="19" spans="1:10" ht="14.25" customHeight="1">
      <c r="A19" s="192" t="s">
        <v>126</v>
      </c>
      <c r="B19" s="193"/>
      <c r="C19" s="194"/>
      <c r="D19" s="163">
        <f>D13/B4</f>
        <v>123.54581540948278</v>
      </c>
      <c r="E19" s="212" t="s">
        <v>127</v>
      </c>
      <c r="F19" s="165">
        <f t="shared" si="10"/>
        <v>6.5393518518518517E-3</v>
      </c>
      <c r="G19" s="165">
        <f t="shared" si="3"/>
        <v>8.1741898148148147E-4</v>
      </c>
      <c r="H19" s="165">
        <f t="shared" si="4"/>
        <v>1.6348379629629629E-3</v>
      </c>
      <c r="I19" s="165">
        <f t="shared" si="5"/>
        <v>3.2696759259259259E-3</v>
      </c>
      <c r="J19" s="166">
        <f t="shared" si="6"/>
        <v>4.9045138888888888E-3</v>
      </c>
    </row>
    <row r="20" spans="1:10" ht="14.25" customHeight="1">
      <c r="A20" s="195" t="s">
        <v>92</v>
      </c>
      <c r="B20" s="196"/>
      <c r="C20" s="197"/>
      <c r="D20" s="170">
        <f>D14*B3</f>
        <v>220.5</v>
      </c>
      <c r="E20" s="171" t="s">
        <v>128</v>
      </c>
      <c r="F20" s="172">
        <f t="shared" si="10"/>
        <v>5.8333333333333336E-3</v>
      </c>
      <c r="G20" s="172">
        <f t="shared" si="3"/>
        <v>7.291666666666667E-4</v>
      </c>
      <c r="H20" s="172">
        <f t="shared" si="4"/>
        <v>1.4583333333333334E-3</v>
      </c>
      <c r="I20" s="172">
        <f t="shared" si="5"/>
        <v>2.9166666666666668E-3</v>
      </c>
      <c r="J20" s="173">
        <f t="shared" si="6"/>
        <v>4.3750000000000004E-3</v>
      </c>
    </row>
    <row r="21" spans="1:10" ht="14.25" customHeight="1">
      <c r="A21" s="198" t="s">
        <v>129</v>
      </c>
      <c r="B21" s="199"/>
      <c r="C21" s="200"/>
      <c r="D21" s="177">
        <f>D14/B4</f>
        <v>256.09756097560978</v>
      </c>
      <c r="E21" s="178" t="s">
        <v>130</v>
      </c>
      <c r="F21" s="179">
        <f>IF((D21/B14)&lt;60,TIME(0,ROUNDDOWN((D21/B14),0),(((D21/B14))-ROUNDDOWN((D21/B14),0))*60),TIME(1,ROUNDDOWN((D21/B14),0)-60,(((D21/B14))-ROUNDDOWN((D21/B14),0))*60))</f>
        <v>6.782407407407408E-3</v>
      </c>
      <c r="G21" s="179">
        <f t="shared" si="3"/>
        <v>8.47800925925926E-4</v>
      </c>
      <c r="H21" s="179">
        <f t="shared" si="4"/>
        <v>1.695601851851852E-3</v>
      </c>
      <c r="I21" s="179">
        <f t="shared" si="5"/>
        <v>3.391203703703704E-3</v>
      </c>
      <c r="J21" s="180">
        <f t="shared" si="6"/>
        <v>5.0868055555555562E-3</v>
      </c>
    </row>
    <row r="22" spans="1:10" ht="14.25" customHeight="1">
      <c r="A22" s="133"/>
      <c r="B22" s="133"/>
      <c r="C22" s="133"/>
      <c r="D22" s="133"/>
      <c r="E22" s="133"/>
      <c r="F22" s="133"/>
    </row>
    <row r="23" spans="1:10" ht="14.25" hidden="1" customHeight="1">
      <c r="E23" s="201" t="s">
        <v>131</v>
      </c>
    </row>
    <row r="24" spans="1:10" ht="14.25" hidden="1" customHeight="1">
      <c r="E24" s="171" t="s">
        <v>117</v>
      </c>
      <c r="F24" s="172">
        <f>'Pace Chart'!$F$12</f>
        <v>5.1041666666666666E-3</v>
      </c>
    </row>
    <row r="25" spans="1:10" ht="14.25" hidden="1" customHeight="1">
      <c r="E25" s="171" t="s">
        <v>109</v>
      </c>
      <c r="F25" s="172">
        <f>'Pace Chart'!$F$8</f>
        <v>4.5254629629629629E-3</v>
      </c>
    </row>
    <row r="26" spans="1:10" ht="14.25" hidden="1" customHeight="1">
      <c r="E26" s="171" t="s">
        <v>113</v>
      </c>
      <c r="F26" s="172">
        <f>'Pace Chart'!$F$10</f>
        <v>4.9537037037037041E-3</v>
      </c>
    </row>
    <row r="27" spans="1:10" ht="14.25" hidden="1" customHeight="1">
      <c r="E27" s="171" t="s">
        <v>111</v>
      </c>
      <c r="F27" s="172">
        <f>'Pace Chart'!$F$9</f>
        <v>4.8726851851851856E-3</v>
      </c>
    </row>
    <row r="28" spans="1:10" ht="14.25" hidden="1" customHeight="1">
      <c r="E28" s="171" t="s">
        <v>115</v>
      </c>
      <c r="F28" s="172">
        <f>'Pace Chart'!$F$11</f>
        <v>5.0347222222222225E-3</v>
      </c>
    </row>
    <row r="29" spans="1:10" ht="14.25" hidden="1" customHeight="1">
      <c r="E29" s="171" t="s">
        <v>107</v>
      </c>
      <c r="F29" s="172">
        <f>'Pace Chart'!$F$7</f>
        <v>4.31712962962963E-3</v>
      </c>
    </row>
    <row r="30" spans="1:10" ht="14.25" hidden="1" customHeight="1">
      <c r="E30" s="171" t="s">
        <v>119</v>
      </c>
      <c r="F30" s="172">
        <f>'Pace Chart'!$F$13</f>
        <v>5.37037037037037E-3</v>
      </c>
    </row>
    <row r="31" spans="1:10" ht="14.25" hidden="1" customHeight="1">
      <c r="E31" s="171" t="s">
        <v>121</v>
      </c>
      <c r="F31" s="172">
        <f>'Pace Chart'!$F$14</f>
        <v>5.5555555555555558E-3</v>
      </c>
    </row>
    <row r="32" spans="1:10" ht="14.25" hidden="1" customHeight="1">
      <c r="E32" s="171" t="s">
        <v>128</v>
      </c>
      <c r="F32" s="172">
        <f>F20</f>
        <v>5.8333333333333336E-3</v>
      </c>
    </row>
    <row r="33" spans="5:6" ht="14.25" hidden="1" customHeight="1">
      <c r="E33" s="171" t="s">
        <v>132</v>
      </c>
      <c r="F33" s="172">
        <f>'Pace Chart'!$F$19</f>
        <v>6.5393518518518517E-3</v>
      </c>
    </row>
    <row r="34" spans="5:6" ht="14.25" hidden="1" customHeight="1">
      <c r="E34" s="171" t="s">
        <v>133</v>
      </c>
      <c r="F34" s="172">
        <f>'Pace Chart'!$F$21</f>
        <v>6.782407407407408E-3</v>
      </c>
    </row>
    <row r="35" spans="5:6" ht="14.25" hidden="1" customHeight="1">
      <c r="E35" s="171" t="s">
        <v>122</v>
      </c>
      <c r="F35" s="172">
        <f>'Pace Chart'!$F$15</f>
        <v>4.8032407407407407E-3</v>
      </c>
    </row>
    <row r="36" spans="5:6" ht="14.25" hidden="1" customHeight="1">
      <c r="E36" s="171" t="s">
        <v>123</v>
      </c>
      <c r="F36" s="172">
        <f>'Pace Chart'!$F$16</f>
        <v>5.0231481481481481E-3</v>
      </c>
    </row>
    <row r="37" spans="5:6" ht="14.25" hidden="1" customHeight="1">
      <c r="E37" s="171" t="s">
        <v>124</v>
      </c>
      <c r="F37" s="172">
        <f>'Pace Chart'!$F$17</f>
        <v>5.4166666666666669E-3</v>
      </c>
    </row>
    <row r="38" spans="5:6" ht="14.25" hidden="1" customHeight="1">
      <c r="E38" s="171" t="s">
        <v>125</v>
      </c>
      <c r="F38" s="172">
        <f>'Pace Chart'!$F$18</f>
        <v>5.6712962962962958E-3</v>
      </c>
    </row>
    <row r="39" spans="5:6" ht="14.25" customHeight="1"/>
    <row r="40" spans="5:6" ht="14.25" customHeight="1"/>
    <row r="41" spans="5:6" ht="14.25" customHeight="1"/>
    <row r="42" spans="5:6" ht="14.25" customHeight="1"/>
    <row r="43" spans="5:6" ht="14.25" customHeight="1"/>
    <row r="44" spans="5:6" ht="14.25" customHeight="1"/>
    <row r="45" spans="5:6" ht="14.25" customHeight="1"/>
    <row r="46" spans="5:6" ht="14.25" customHeight="1"/>
    <row r="47" spans="5:6" ht="14.25" customHeight="1"/>
    <row r="48" spans="5: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0"/>
  <sheetViews>
    <sheetView workbookViewId="0">
      <selection activeCell="A17" sqref="A17"/>
    </sheetView>
  </sheetViews>
  <sheetFormatPr defaultColWidth="14.44140625" defaultRowHeight="15" customHeight="1"/>
  <cols>
    <col min="1" max="1" width="26.109375" customWidth="1"/>
    <col min="2" max="2" width="141.88671875" customWidth="1"/>
    <col min="3" max="11" width="8.6640625" customWidth="1"/>
  </cols>
  <sheetData>
    <row r="1" spans="1:2" ht="100.8">
      <c r="A1" s="202" t="s">
        <v>134</v>
      </c>
      <c r="B1" s="203" t="s">
        <v>135</v>
      </c>
    </row>
    <row r="2" spans="1:2" ht="86.4">
      <c r="A2" s="202" t="s">
        <v>136</v>
      </c>
      <c r="B2" s="203" t="s">
        <v>137</v>
      </c>
    </row>
    <row r="3" spans="1:2" ht="43.2">
      <c r="A3" s="204" t="s">
        <v>138</v>
      </c>
      <c r="B3" s="203" t="s">
        <v>139</v>
      </c>
    </row>
    <row r="4" spans="1:2" ht="14.4">
      <c r="A4" s="202" t="s">
        <v>140</v>
      </c>
      <c r="B4" s="203" t="s">
        <v>141</v>
      </c>
    </row>
    <row r="5" spans="1:2" ht="28.8">
      <c r="A5" s="202" t="s">
        <v>142</v>
      </c>
      <c r="B5" s="203" t="s">
        <v>143</v>
      </c>
    </row>
    <row r="6" spans="1:2" ht="28.8">
      <c r="A6" s="202" t="s">
        <v>144</v>
      </c>
      <c r="B6" s="203" t="s">
        <v>145</v>
      </c>
    </row>
    <row r="7" spans="1:2" ht="57.6">
      <c r="A7" s="202" t="s">
        <v>146</v>
      </c>
      <c r="B7" s="203" t="s">
        <v>147</v>
      </c>
    </row>
    <row r="8" spans="1:2" ht="28.8">
      <c r="A8" s="202" t="s">
        <v>148</v>
      </c>
      <c r="B8" s="203" t="s">
        <v>149</v>
      </c>
    </row>
    <row r="9" spans="1:2" ht="14.4">
      <c r="A9" s="202" t="s">
        <v>150</v>
      </c>
      <c r="B9" s="203" t="s">
        <v>151</v>
      </c>
    </row>
    <row r="10" spans="1:2" ht="129.6">
      <c r="A10" s="202" t="s">
        <v>152</v>
      </c>
      <c r="B10" s="203" t="s">
        <v>153</v>
      </c>
    </row>
    <row r="11" spans="1:2" ht="28.8">
      <c r="A11" s="202" t="s">
        <v>154</v>
      </c>
      <c r="B11" s="203" t="s">
        <v>155</v>
      </c>
    </row>
    <row r="12" spans="1:2" ht="14.4">
      <c r="A12" s="204" t="s">
        <v>156</v>
      </c>
      <c r="B12" s="203" t="s">
        <v>157</v>
      </c>
    </row>
    <row r="13" spans="1:2" ht="43.2">
      <c r="A13" s="202" t="s">
        <v>158</v>
      </c>
      <c r="B13" s="203" t="s">
        <v>159</v>
      </c>
    </row>
    <row r="14" spans="1:2" ht="14.25" customHeight="1">
      <c r="A14" s="205"/>
      <c r="B14" s="22"/>
    </row>
    <row r="15" spans="1:2" ht="14.25" customHeight="1">
      <c r="A15" s="205"/>
      <c r="B15" s="22"/>
    </row>
    <row r="16" spans="1:2" ht="14.25" customHeight="1">
      <c r="A16" s="205"/>
      <c r="B16" s="22"/>
    </row>
    <row r="17" spans="1:2" ht="14.25" customHeight="1">
      <c r="A17" s="205"/>
      <c r="B17" s="22"/>
    </row>
    <row r="18" spans="1:2" ht="14.25" customHeight="1">
      <c r="A18" s="205"/>
      <c r="B18" s="22"/>
    </row>
    <row r="19" spans="1:2" ht="14.25" customHeight="1">
      <c r="A19" s="205"/>
      <c r="B19" s="22"/>
    </row>
    <row r="20" spans="1:2" ht="14.25" customHeight="1">
      <c r="A20" s="205"/>
      <c r="B20" s="22"/>
    </row>
    <row r="21" spans="1:2" ht="14.25" customHeight="1">
      <c r="A21" s="205"/>
      <c r="B21" s="22"/>
    </row>
    <row r="22" spans="1:2" ht="14.25" customHeight="1">
      <c r="A22" s="205"/>
      <c r="B22" s="22"/>
    </row>
    <row r="23" spans="1:2" ht="14.25" customHeight="1">
      <c r="A23" s="205"/>
      <c r="B23" s="22"/>
    </row>
    <row r="24" spans="1:2" ht="14.25" customHeight="1">
      <c r="A24" s="205"/>
      <c r="B24" s="22"/>
    </row>
    <row r="25" spans="1:2" ht="14.25" customHeight="1">
      <c r="A25" s="205"/>
      <c r="B25" s="22"/>
    </row>
    <row r="26" spans="1:2" ht="14.25" customHeight="1">
      <c r="A26" s="205"/>
      <c r="B26" s="22"/>
    </row>
    <row r="27" spans="1:2" ht="14.25" customHeight="1">
      <c r="A27" s="205"/>
      <c r="B27" s="22"/>
    </row>
    <row r="28" spans="1:2" ht="14.25" customHeight="1">
      <c r="A28" s="205"/>
      <c r="B28" s="22"/>
    </row>
    <row r="29" spans="1:2" ht="14.25" customHeight="1">
      <c r="A29" s="205"/>
      <c r="B29" s="22"/>
    </row>
    <row r="30" spans="1:2" ht="14.25" customHeight="1">
      <c r="A30" s="205"/>
      <c r="B30" s="22"/>
    </row>
    <row r="31" spans="1:2" ht="14.25" customHeight="1">
      <c r="A31" s="205"/>
      <c r="B31" s="22"/>
    </row>
    <row r="32" spans="1:2" ht="14.25" customHeight="1">
      <c r="A32" s="205"/>
      <c r="B32" s="22"/>
    </row>
    <row r="33" spans="1:2" ht="14.25" customHeight="1">
      <c r="A33" s="205"/>
      <c r="B33" s="22"/>
    </row>
    <row r="34" spans="1:2" ht="14.25" customHeight="1">
      <c r="A34" s="205"/>
      <c r="B34" s="22"/>
    </row>
    <row r="35" spans="1:2" ht="14.25" customHeight="1">
      <c r="A35" s="205"/>
      <c r="B35" s="22"/>
    </row>
    <row r="36" spans="1:2" ht="14.25" customHeight="1">
      <c r="A36" s="205"/>
      <c r="B36" s="22"/>
    </row>
    <row r="37" spans="1:2" ht="14.25" customHeight="1">
      <c r="A37" s="205"/>
      <c r="B37" s="22"/>
    </row>
    <row r="38" spans="1:2" ht="14.25" customHeight="1">
      <c r="A38" s="205"/>
      <c r="B38" s="22"/>
    </row>
    <row r="39" spans="1:2" ht="14.25" customHeight="1">
      <c r="A39" s="205"/>
      <c r="B39" s="22"/>
    </row>
    <row r="40" spans="1:2" ht="14.25" customHeight="1">
      <c r="A40" s="205"/>
      <c r="B40" s="22"/>
    </row>
    <row r="41" spans="1:2" ht="14.25" customHeight="1">
      <c r="A41" s="205"/>
      <c r="B41" s="22"/>
    </row>
    <row r="42" spans="1:2" ht="14.25" customHeight="1">
      <c r="A42" s="205"/>
      <c r="B42" s="22"/>
    </row>
    <row r="43" spans="1:2" ht="14.25" customHeight="1">
      <c r="A43" s="205"/>
      <c r="B43" s="22"/>
    </row>
    <row r="44" spans="1:2" ht="14.25" customHeight="1">
      <c r="A44" s="205"/>
      <c r="B44" s="22"/>
    </row>
    <row r="45" spans="1:2" ht="14.25" customHeight="1">
      <c r="A45" s="205"/>
      <c r="B45" s="22"/>
    </row>
    <row r="46" spans="1:2" ht="14.25" customHeight="1">
      <c r="A46" s="205"/>
      <c r="B46" s="22"/>
    </row>
    <row r="47" spans="1:2" ht="14.25" customHeight="1">
      <c r="A47" s="205"/>
      <c r="B47" s="22"/>
    </row>
    <row r="48" spans="1:2" ht="14.25" customHeight="1">
      <c r="A48" s="205"/>
      <c r="B48" s="22"/>
    </row>
    <row r="49" spans="1:2" ht="14.25" customHeight="1">
      <c r="A49" s="205"/>
      <c r="B49" s="22"/>
    </row>
    <row r="50" spans="1:2" ht="14.25" customHeight="1">
      <c r="A50" s="205"/>
      <c r="B50" s="22"/>
    </row>
    <row r="51" spans="1:2" ht="14.25" customHeight="1">
      <c r="A51" s="205"/>
      <c r="B51" s="22"/>
    </row>
    <row r="52" spans="1:2" ht="14.25" customHeight="1">
      <c r="A52" s="205"/>
      <c r="B52" s="22"/>
    </row>
    <row r="53" spans="1:2" ht="14.25" customHeight="1">
      <c r="A53" s="205"/>
      <c r="B53" s="22"/>
    </row>
    <row r="54" spans="1:2" ht="14.25" customHeight="1">
      <c r="A54" s="205"/>
      <c r="B54" s="22"/>
    </row>
    <row r="55" spans="1:2" ht="14.25" customHeight="1">
      <c r="A55" s="205"/>
      <c r="B55" s="22"/>
    </row>
    <row r="56" spans="1:2" ht="14.25" customHeight="1">
      <c r="A56" s="205"/>
      <c r="B56" s="22"/>
    </row>
    <row r="57" spans="1:2" ht="14.25" customHeight="1">
      <c r="A57" s="205"/>
      <c r="B57" s="22"/>
    </row>
    <row r="58" spans="1:2" ht="14.25" customHeight="1">
      <c r="A58" s="205"/>
      <c r="B58" s="22"/>
    </row>
    <row r="59" spans="1:2" ht="14.25" customHeight="1">
      <c r="A59" s="205"/>
      <c r="B59" s="22"/>
    </row>
    <row r="60" spans="1:2" ht="14.25" customHeight="1">
      <c r="A60" s="205"/>
      <c r="B60" s="22"/>
    </row>
    <row r="61" spans="1:2" ht="14.25" customHeight="1">
      <c r="A61" s="205"/>
      <c r="B61" s="22"/>
    </row>
    <row r="62" spans="1:2" ht="14.25" customHeight="1">
      <c r="A62" s="205"/>
      <c r="B62" s="22"/>
    </row>
    <row r="63" spans="1:2" ht="14.25" customHeight="1">
      <c r="A63" s="205"/>
      <c r="B63" s="22"/>
    </row>
    <row r="64" spans="1:2" ht="14.25" customHeight="1">
      <c r="A64" s="205"/>
      <c r="B64" s="22"/>
    </row>
    <row r="65" spans="1:2" ht="14.25" customHeight="1">
      <c r="A65" s="205"/>
      <c r="B65" s="22"/>
    </row>
    <row r="66" spans="1:2" ht="14.25" customHeight="1">
      <c r="A66" s="205"/>
      <c r="B66" s="22"/>
    </row>
    <row r="67" spans="1:2" ht="14.25" customHeight="1">
      <c r="A67" s="205"/>
      <c r="B67" s="22"/>
    </row>
    <row r="68" spans="1:2" ht="14.25" customHeight="1">
      <c r="A68" s="205"/>
      <c r="B68" s="22"/>
    </row>
    <row r="69" spans="1:2" ht="14.25" customHeight="1">
      <c r="A69" s="205"/>
      <c r="B69" s="22"/>
    </row>
    <row r="70" spans="1:2" ht="14.25" customHeight="1">
      <c r="A70" s="205"/>
      <c r="B70" s="22"/>
    </row>
    <row r="71" spans="1:2" ht="14.25" customHeight="1">
      <c r="A71" s="205"/>
      <c r="B71" s="22"/>
    </row>
    <row r="72" spans="1:2" ht="14.25" customHeight="1">
      <c r="A72" s="205"/>
      <c r="B72" s="22"/>
    </row>
    <row r="73" spans="1:2" ht="14.25" customHeight="1">
      <c r="A73" s="205"/>
      <c r="B73" s="22"/>
    </row>
    <row r="74" spans="1:2" ht="14.25" customHeight="1">
      <c r="A74" s="205"/>
      <c r="B74" s="22"/>
    </row>
    <row r="75" spans="1:2" ht="14.25" customHeight="1">
      <c r="A75" s="205"/>
      <c r="B75" s="22"/>
    </row>
    <row r="76" spans="1:2" ht="14.25" customHeight="1">
      <c r="A76" s="205"/>
      <c r="B76" s="22"/>
    </row>
    <row r="77" spans="1:2" ht="14.25" customHeight="1">
      <c r="A77" s="205"/>
      <c r="B77" s="22"/>
    </row>
    <row r="78" spans="1:2" ht="14.25" customHeight="1">
      <c r="A78" s="205"/>
      <c r="B78" s="22"/>
    </row>
    <row r="79" spans="1:2" ht="14.25" customHeight="1">
      <c r="A79" s="205"/>
      <c r="B79" s="22"/>
    </row>
    <row r="80" spans="1:2" ht="14.25" customHeight="1">
      <c r="A80" s="205"/>
      <c r="B80" s="22"/>
    </row>
    <row r="81" spans="1:2" ht="14.25" customHeight="1">
      <c r="A81" s="205"/>
      <c r="B81" s="22"/>
    </row>
    <row r="82" spans="1:2" ht="14.25" customHeight="1">
      <c r="A82" s="205"/>
      <c r="B82" s="22"/>
    </row>
    <row r="83" spans="1:2" ht="14.25" customHeight="1">
      <c r="A83" s="205"/>
      <c r="B83" s="22"/>
    </row>
    <row r="84" spans="1:2" ht="14.25" customHeight="1">
      <c r="A84" s="205"/>
      <c r="B84" s="22"/>
    </row>
    <row r="85" spans="1:2" ht="14.25" customHeight="1">
      <c r="A85" s="205"/>
      <c r="B85" s="22"/>
    </row>
    <row r="86" spans="1:2" ht="14.25" customHeight="1">
      <c r="A86" s="205"/>
      <c r="B86" s="22"/>
    </row>
    <row r="87" spans="1:2" ht="14.25" customHeight="1">
      <c r="A87" s="205"/>
      <c r="B87" s="22"/>
    </row>
    <row r="88" spans="1:2" ht="14.25" customHeight="1">
      <c r="A88" s="205"/>
      <c r="B88" s="22"/>
    </row>
    <row r="89" spans="1:2" ht="14.25" customHeight="1">
      <c r="A89" s="205"/>
      <c r="B89" s="22"/>
    </row>
    <row r="90" spans="1:2" ht="14.25" customHeight="1">
      <c r="A90" s="205"/>
      <c r="B90" s="22"/>
    </row>
    <row r="91" spans="1:2" ht="14.25" customHeight="1">
      <c r="A91" s="205"/>
      <c r="B91" s="22"/>
    </row>
    <row r="92" spans="1:2" ht="14.25" customHeight="1">
      <c r="A92" s="205"/>
      <c r="B92" s="22"/>
    </row>
    <row r="93" spans="1:2" ht="14.25" customHeight="1">
      <c r="A93" s="205"/>
      <c r="B93" s="22"/>
    </row>
    <row r="94" spans="1:2" ht="14.25" customHeight="1">
      <c r="A94" s="205"/>
      <c r="B94" s="22"/>
    </row>
    <row r="95" spans="1:2" ht="14.25" customHeight="1">
      <c r="A95" s="205"/>
      <c r="B95" s="22"/>
    </row>
    <row r="96" spans="1:2" ht="14.25" customHeight="1">
      <c r="A96" s="205"/>
      <c r="B96" s="22"/>
    </row>
    <row r="97" spans="1:2" ht="14.25" customHeight="1">
      <c r="A97" s="205"/>
      <c r="B97" s="22"/>
    </row>
    <row r="98" spans="1:2" ht="14.25" customHeight="1">
      <c r="A98" s="205"/>
      <c r="B98" s="22"/>
    </row>
    <row r="99" spans="1:2" ht="14.25" customHeight="1">
      <c r="A99" s="205"/>
      <c r="B99" s="22"/>
    </row>
    <row r="100" spans="1:2" ht="14.25" customHeight="1">
      <c r="A100" s="205"/>
      <c r="B100" s="22"/>
    </row>
  </sheetData>
  <hyperlinks>
    <hyperlink ref="A3" r:id="rId1" xr:uid="{00000000-0004-0000-0400-000000000000}"/>
    <hyperlink ref="A12" r:id="rId2" xr:uid="{00000000-0004-0000-0400-000001000000}"/>
  </hyperlinks>
  <pageMargins left="0.5" right="0.5" top="1" bottom="1"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0"/>
  <sheetViews>
    <sheetView workbookViewId="0"/>
  </sheetViews>
  <sheetFormatPr defaultColWidth="14.44140625" defaultRowHeight="15" customHeight="1"/>
  <cols>
    <col min="1" max="17" width="8.6640625" customWidth="1"/>
  </cols>
  <sheetData>
    <row r="1" spans="1:12" ht="14.25" customHeight="1">
      <c r="A1" t="s">
        <v>160</v>
      </c>
      <c r="F1" t="s">
        <v>161</v>
      </c>
      <c r="G1" t="s">
        <v>162</v>
      </c>
      <c r="H1" t="s">
        <v>163</v>
      </c>
      <c r="I1" t="s">
        <v>164</v>
      </c>
    </row>
    <row r="2" spans="1:12" ht="14.25" customHeight="1">
      <c r="A2" s="23">
        <v>0.5</v>
      </c>
      <c r="B2" s="206">
        <v>1.6666666666666668E-3</v>
      </c>
      <c r="C2" s="207">
        <f t="shared" ref="C2:C7" si="0">HOUR(B2)*60+MINUTE(B2)+SECOND(B2)/60</f>
        <v>2.4</v>
      </c>
      <c r="F2">
        <v>1</v>
      </c>
      <c r="G2" s="208">
        <f>C7</f>
        <v>160</v>
      </c>
      <c r="H2">
        <v>4.9564000000000004</v>
      </c>
      <c r="I2">
        <v>1.0639000000000001</v>
      </c>
      <c r="L2" t="s">
        <v>165</v>
      </c>
    </row>
    <row r="3" spans="1:12" ht="14.25" customHeight="1">
      <c r="A3" s="23">
        <v>1</v>
      </c>
      <c r="B3" s="206">
        <v>3.3680555555555551E-3</v>
      </c>
      <c r="C3" s="207">
        <f t="shared" si="0"/>
        <v>4.8499999999999996</v>
      </c>
      <c r="F3">
        <v>2</v>
      </c>
      <c r="G3" s="208">
        <f>C15</f>
        <v>175</v>
      </c>
      <c r="H3">
        <v>5.4539999999999997</v>
      </c>
      <c r="I3">
        <v>1.0636000000000001</v>
      </c>
      <c r="L3" t="s">
        <v>166</v>
      </c>
    </row>
    <row r="4" spans="1:12" ht="14.25" customHeight="1">
      <c r="A4" s="23">
        <v>3.1</v>
      </c>
      <c r="B4" s="206">
        <v>1.1574074074074075E-2</v>
      </c>
      <c r="C4" s="207">
        <f t="shared" si="0"/>
        <v>16.666666666666668</v>
      </c>
      <c r="F4">
        <v>3</v>
      </c>
      <c r="G4" s="208">
        <f>C23</f>
        <v>195</v>
      </c>
      <c r="H4">
        <v>6.0556999999999999</v>
      </c>
      <c r="I4">
        <v>1.0629999999999999</v>
      </c>
      <c r="L4" t="s">
        <v>167</v>
      </c>
    </row>
    <row r="5" spans="1:12" ht="14.25" customHeight="1">
      <c r="A5" s="23">
        <v>6.2</v>
      </c>
      <c r="B5" s="206">
        <v>2.4074074074074071E-2</v>
      </c>
      <c r="C5" s="207">
        <f t="shared" si="0"/>
        <v>34.666666666666664</v>
      </c>
      <c r="F5">
        <v>4</v>
      </c>
      <c r="G5" s="208">
        <f>C31</f>
        <v>210</v>
      </c>
      <c r="H5">
        <v>6.5191999999999997</v>
      </c>
      <c r="I5">
        <v>1.0633999999999999</v>
      </c>
    </row>
    <row r="6" spans="1:12" ht="14.25" customHeight="1">
      <c r="A6" s="23">
        <v>13.1</v>
      </c>
      <c r="B6" s="206">
        <v>5.2939814814814821E-2</v>
      </c>
      <c r="C6" s="207">
        <f t="shared" si="0"/>
        <v>76.233333333333334</v>
      </c>
      <c r="F6">
        <v>5</v>
      </c>
      <c r="G6" s="208">
        <f>C39</f>
        <v>230</v>
      </c>
      <c r="H6">
        <v>7.1578999999999997</v>
      </c>
      <c r="I6">
        <v>1.0625</v>
      </c>
    </row>
    <row r="7" spans="1:12" ht="14.25" customHeight="1">
      <c r="A7" s="23">
        <v>26.2</v>
      </c>
      <c r="B7" s="206">
        <v>0.1111111111111111</v>
      </c>
      <c r="C7" s="207">
        <f t="shared" si="0"/>
        <v>160</v>
      </c>
    </row>
    <row r="8" spans="1:12" ht="14.25" customHeight="1"/>
    <row r="9" spans="1:12" ht="14.25" customHeight="1">
      <c r="A9" t="s">
        <v>168</v>
      </c>
    </row>
    <row r="10" spans="1:12" ht="14.25" customHeight="1">
      <c r="A10" s="23">
        <v>0.5</v>
      </c>
      <c r="B10" s="206">
        <v>1.8171296296296297E-3</v>
      </c>
      <c r="C10" s="207">
        <f t="shared" ref="C10:C15" si="1">HOUR(B10)*60+MINUTE(B10)+SECOND(B10)/60</f>
        <v>2.6166666666666667</v>
      </c>
    </row>
    <row r="11" spans="1:12" ht="14.25" customHeight="1">
      <c r="A11" s="23">
        <v>1</v>
      </c>
      <c r="B11" s="206">
        <v>3.6921296296296298E-3</v>
      </c>
      <c r="C11" s="207">
        <f t="shared" si="1"/>
        <v>5.3166666666666664</v>
      </c>
    </row>
    <row r="12" spans="1:12" ht="14.25" customHeight="1">
      <c r="A12" s="23">
        <v>3.1</v>
      </c>
      <c r="B12" s="206">
        <v>1.3101851851851852E-2</v>
      </c>
      <c r="C12" s="207">
        <f t="shared" si="1"/>
        <v>18.866666666666667</v>
      </c>
    </row>
    <row r="13" spans="1:12" ht="14.25" customHeight="1">
      <c r="A13" s="23">
        <v>6.2</v>
      </c>
      <c r="B13" s="206">
        <v>2.6331018518518517E-2</v>
      </c>
      <c r="C13" s="207">
        <f t="shared" si="1"/>
        <v>37.916666666666664</v>
      </c>
    </row>
    <row r="14" spans="1:12" ht="14.25" customHeight="1">
      <c r="A14" s="23">
        <v>13.1</v>
      </c>
      <c r="B14" s="206">
        <v>5.7928240740740738E-2</v>
      </c>
      <c r="C14" s="207">
        <f t="shared" si="1"/>
        <v>83.416666666666671</v>
      </c>
    </row>
    <row r="15" spans="1:12" ht="14.25" customHeight="1">
      <c r="A15" s="23">
        <v>26.2</v>
      </c>
      <c r="B15" s="206">
        <v>0.12152777777777778</v>
      </c>
      <c r="C15" s="207">
        <f t="shared" si="1"/>
        <v>175</v>
      </c>
    </row>
    <row r="16" spans="1:12" ht="14.25" customHeight="1"/>
    <row r="17" spans="1:3" ht="14.25" customHeight="1">
      <c r="A17" t="s">
        <v>169</v>
      </c>
    </row>
    <row r="18" spans="1:3" ht="14.25" customHeight="1">
      <c r="A18" s="23">
        <v>0.5</v>
      </c>
      <c r="B18" s="206">
        <v>2.0370370370370373E-3</v>
      </c>
      <c r="C18" s="207">
        <f t="shared" ref="C18:C23" si="2">HOUR(B18)*60+MINUTE(B18)+SECOND(B18)/60</f>
        <v>2.9333333333333336</v>
      </c>
    </row>
    <row r="19" spans="1:3" ht="14.25" customHeight="1">
      <c r="A19" s="23">
        <v>1</v>
      </c>
      <c r="B19" s="206">
        <v>4.1203703703703706E-3</v>
      </c>
      <c r="C19" s="207">
        <f t="shared" si="2"/>
        <v>5.9333333333333336</v>
      </c>
    </row>
    <row r="20" spans="1:3" ht="14.25" customHeight="1">
      <c r="A20" s="23">
        <v>3.1</v>
      </c>
      <c r="B20" s="206">
        <v>1.4108796296296295E-2</v>
      </c>
      <c r="C20" s="207">
        <f t="shared" si="2"/>
        <v>20.316666666666666</v>
      </c>
    </row>
    <row r="21" spans="1:3" ht="14.25" customHeight="1">
      <c r="A21" s="23">
        <v>6.2</v>
      </c>
      <c r="B21" s="206">
        <v>2.9351851851851851E-2</v>
      </c>
      <c r="C21" s="207">
        <f t="shared" si="2"/>
        <v>42.266666666666666</v>
      </c>
    </row>
    <row r="22" spans="1:3" ht="14.25" customHeight="1">
      <c r="A22" s="23">
        <v>13.1</v>
      </c>
      <c r="B22" s="206">
        <v>6.4594907407407406E-2</v>
      </c>
      <c r="C22" s="207">
        <f t="shared" si="2"/>
        <v>93.016666666666666</v>
      </c>
    </row>
    <row r="23" spans="1:3" ht="14.25" customHeight="1">
      <c r="A23" s="23">
        <v>26.2</v>
      </c>
      <c r="B23" s="206">
        <v>0.13541666666666666</v>
      </c>
      <c r="C23" s="207">
        <f t="shared" si="2"/>
        <v>195</v>
      </c>
    </row>
    <row r="24" spans="1:3" ht="14.25" customHeight="1"/>
    <row r="25" spans="1:3" ht="14.25" customHeight="1">
      <c r="A25" t="s">
        <v>170</v>
      </c>
    </row>
    <row r="26" spans="1:3" ht="14.25" customHeight="1">
      <c r="A26" s="23">
        <v>0.5</v>
      </c>
      <c r="B26" s="206">
        <v>2.1875000000000002E-3</v>
      </c>
      <c r="C26" s="207">
        <f t="shared" ref="C26:C31" si="3">HOUR(B26)*60+MINUTE(B26)+SECOND(B26)/60</f>
        <v>3.15</v>
      </c>
    </row>
    <row r="27" spans="1:3" ht="14.25" customHeight="1">
      <c r="A27" s="23">
        <v>1</v>
      </c>
      <c r="B27" s="206">
        <v>4.4444444444444444E-3</v>
      </c>
      <c r="C27" s="207">
        <f t="shared" si="3"/>
        <v>6.4</v>
      </c>
    </row>
    <row r="28" spans="1:3" ht="14.25" customHeight="1">
      <c r="A28" s="23">
        <v>3.1</v>
      </c>
      <c r="B28" s="206">
        <v>1.5208333333333332E-2</v>
      </c>
      <c r="C28" s="207">
        <f t="shared" si="3"/>
        <v>21.9</v>
      </c>
    </row>
    <row r="29" spans="1:3" ht="14.25" customHeight="1">
      <c r="A29" s="23">
        <v>6.2</v>
      </c>
      <c r="B29" s="206">
        <v>3.1631944444444442E-2</v>
      </c>
      <c r="C29" s="207">
        <f t="shared" si="3"/>
        <v>45.55</v>
      </c>
    </row>
    <row r="30" spans="1:3" ht="14.25" customHeight="1">
      <c r="A30" s="23">
        <v>13.1</v>
      </c>
      <c r="B30" s="206">
        <v>6.9594907407407411E-2</v>
      </c>
      <c r="C30" s="207">
        <f t="shared" si="3"/>
        <v>100.21666666666667</v>
      </c>
    </row>
    <row r="31" spans="1:3" ht="14.25" customHeight="1">
      <c r="A31" s="23">
        <v>26.2</v>
      </c>
      <c r="B31" s="206">
        <v>0.14583333333333334</v>
      </c>
      <c r="C31" s="207">
        <f t="shared" si="3"/>
        <v>210</v>
      </c>
    </row>
    <row r="32" spans="1:3" ht="14.25" customHeight="1"/>
    <row r="33" spans="1:3" ht="14.25" customHeight="1">
      <c r="A33" t="s">
        <v>171</v>
      </c>
    </row>
    <row r="34" spans="1:3" ht="14.25" customHeight="1">
      <c r="A34" s="23">
        <v>0.5</v>
      </c>
      <c r="B34" s="206">
        <v>2.4074074074074076E-3</v>
      </c>
      <c r="C34" s="207">
        <f t="shared" ref="C34:C39" si="4">HOUR(B34)*60+MINUTE(B34)+SECOND(B34)/60</f>
        <v>3.4666666666666668</v>
      </c>
    </row>
    <row r="35" spans="1:3" ht="14.25" customHeight="1">
      <c r="A35" s="23">
        <v>1</v>
      </c>
      <c r="B35" s="206">
        <v>4.8726851851851856E-3</v>
      </c>
      <c r="C35" s="207">
        <f t="shared" si="4"/>
        <v>7.0166666666666666</v>
      </c>
    </row>
    <row r="36" spans="1:3" ht="14.25" customHeight="1">
      <c r="A36" s="23">
        <v>3.1</v>
      </c>
      <c r="B36" s="206">
        <v>1.6666666666666666E-2</v>
      </c>
      <c r="C36" s="207">
        <f t="shared" si="4"/>
        <v>24</v>
      </c>
    </row>
    <row r="37" spans="1:3" ht="14.25" customHeight="1">
      <c r="A37" s="23">
        <v>6.2</v>
      </c>
      <c r="B37" s="206">
        <v>3.4664351851851849E-2</v>
      </c>
      <c r="C37" s="207">
        <f t="shared" si="4"/>
        <v>49.916666666666664</v>
      </c>
    </row>
    <row r="38" spans="1:3" ht="14.25" customHeight="1">
      <c r="A38" s="23">
        <v>13.1</v>
      </c>
      <c r="B38" s="206">
        <v>7.6284722222222226E-2</v>
      </c>
      <c r="C38" s="207">
        <f t="shared" si="4"/>
        <v>109.85</v>
      </c>
    </row>
    <row r="39" spans="1:3" ht="14.25" customHeight="1">
      <c r="A39" s="23">
        <v>26.2</v>
      </c>
      <c r="B39" s="206">
        <v>0.15972222222222224</v>
      </c>
      <c r="C39" s="207">
        <f t="shared" si="4"/>
        <v>230</v>
      </c>
    </row>
    <row r="40" spans="1:3" ht="14.25" customHeight="1"/>
    <row r="41" spans="1:3" ht="14.25" customHeight="1"/>
    <row r="42" spans="1:3" ht="14.25" customHeight="1"/>
    <row r="43" spans="1:3" ht="14.25" customHeight="1"/>
    <row r="44" spans="1:3" ht="14.25" customHeight="1"/>
    <row r="45" spans="1:3" ht="14.25" customHeight="1"/>
    <row r="46" spans="1:3" ht="14.25" customHeight="1"/>
    <row r="47" spans="1:3" ht="14.25" customHeight="1"/>
    <row r="48" spans="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NYC Marathon</vt:lpstr>
      <vt:lpstr>Chicago Marathon</vt:lpstr>
      <vt:lpstr>Pace Chart</vt:lpstr>
      <vt:lpstr>Definitions &amp; Recommendations</vt:lpstr>
      <vt:lpstr>Data Fit</vt:lpstr>
      <vt:lpstr>'Chicago Marathon'!Distance_Pct</vt:lpstr>
      <vt:lpstr>Distance_Pct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dc:creator>
  <cp:lastModifiedBy>Bartucca, Scott</cp:lastModifiedBy>
  <cp:lastPrinted>2015-04-22T20:15:47Z</cp:lastPrinted>
  <dcterms:created xsi:type="dcterms:W3CDTF">2009-10-22T12:53:27Z</dcterms:created>
  <dcterms:modified xsi:type="dcterms:W3CDTF">2023-08-03T21:49:17Z</dcterms:modified>
</cp:coreProperties>
</file>